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4240" windowHeight="13020" activeTab="1"/>
  </bookViews>
  <sheets>
    <sheet name="TONG HOP" sheetId="2" r:id="rId1"/>
    <sheet name="CHI TIET" sheetId="1" r:id="rId2"/>
    <sheet name="CHI TIET (2)" sheetId="11" state="hidden" r:id="rId3"/>
  </sheets>
  <calcPr calcId="191029"/>
</workbook>
</file>

<file path=xl/calcChain.xml><?xml version="1.0" encoding="utf-8"?>
<calcChain xmlns="http://schemas.openxmlformats.org/spreadsheetml/2006/main">
  <c r="K11" i="2" l="1"/>
  <c r="K12" i="2"/>
  <c r="K13" i="2"/>
  <c r="K14" i="2"/>
  <c r="K15" i="2"/>
  <c r="K16" i="2"/>
  <c r="K17" i="2"/>
  <c r="J17" i="2"/>
  <c r="J15" i="2" s="1"/>
  <c r="J16" i="2"/>
  <c r="J14" i="2"/>
  <c r="J13" i="2"/>
  <c r="J12" i="2"/>
  <c r="J11" i="2"/>
  <c r="K9" i="2"/>
  <c r="J9" i="2"/>
  <c r="L40" i="1"/>
  <c r="L31" i="1"/>
  <c r="L30" i="1"/>
  <c r="L24" i="1"/>
  <c r="L20" i="1"/>
  <c r="L13" i="1"/>
  <c r="L9" i="1"/>
  <c r="L10" i="1"/>
  <c r="L8" i="1"/>
  <c r="K22" i="1"/>
  <c r="K52" i="1"/>
  <c r="K42" i="1"/>
  <c r="K41" i="1"/>
  <c r="K66" i="1"/>
  <c r="K64" i="1"/>
  <c r="K63" i="1"/>
  <c r="K61" i="1"/>
  <c r="K60" i="1"/>
  <c r="K59" i="1"/>
  <c r="K56" i="1"/>
  <c r="K55" i="1"/>
  <c r="K54" i="1"/>
  <c r="K51" i="1"/>
  <c r="K50" i="1"/>
  <c r="K49" i="1"/>
  <c r="K46" i="1"/>
  <c r="K39" i="1"/>
  <c r="K36" i="1"/>
  <c r="K33" i="1"/>
  <c r="K26" i="1"/>
  <c r="K27" i="1"/>
  <c r="K28" i="1"/>
  <c r="K29" i="1"/>
  <c r="K25" i="1"/>
  <c r="K23" i="1"/>
  <c r="K15" i="1"/>
  <c r="K16" i="1"/>
  <c r="K17" i="1"/>
  <c r="K18" i="1"/>
  <c r="K19" i="1"/>
  <c r="K14" i="1"/>
  <c r="K12" i="1"/>
  <c r="K11" i="1"/>
  <c r="P12" i="1"/>
  <c r="P11" i="1"/>
  <c r="K65" i="1"/>
  <c r="K62" i="1"/>
  <c r="J10" i="2" l="1"/>
  <c r="K10" i="2" s="1"/>
  <c r="K10" i="1"/>
  <c r="K58" i="1" l="1"/>
  <c r="K57" i="1" s="1"/>
  <c r="K53" i="1"/>
  <c r="K48" i="1"/>
  <c r="K45" i="1"/>
  <c r="K38" i="1"/>
  <c r="K37" i="1" s="1"/>
  <c r="K35" i="1"/>
  <c r="K34" i="1" s="1"/>
  <c r="K32" i="1"/>
  <c r="K24" i="1"/>
  <c r="K21" i="1"/>
  <c r="K20" i="1" s="1"/>
  <c r="K9" i="1" s="1"/>
  <c r="K8" i="1" s="1"/>
  <c r="K13" i="1"/>
  <c r="A3" i="1"/>
  <c r="K47" i="1" l="1"/>
  <c r="K40" i="1" s="1"/>
  <c r="K31" i="1"/>
  <c r="F19" i="1"/>
  <c r="E19" i="1" s="1"/>
  <c r="Q19" i="1" s="1"/>
  <c r="G14" i="1"/>
  <c r="G17" i="1"/>
  <c r="E17" i="1" s="1"/>
  <c r="F14" i="1"/>
  <c r="M38" i="1"/>
  <c r="M37" i="1"/>
  <c r="M35" i="1"/>
  <c r="M34" i="1"/>
  <c r="M32" i="1"/>
  <c r="M65" i="1"/>
  <c r="M62" i="1"/>
  <c r="M58" i="1"/>
  <c r="M53" i="1"/>
  <c r="M48" i="1"/>
  <c r="M47" i="1" s="1"/>
  <c r="M45" i="1"/>
  <c r="M42" i="1"/>
  <c r="M41" i="1" s="1"/>
  <c r="M24" i="1"/>
  <c r="L14" i="2" s="1"/>
  <c r="M21" i="1"/>
  <c r="M20" i="1" s="1"/>
  <c r="L13" i="2" s="1"/>
  <c r="M13" i="1"/>
  <c r="M10" i="1"/>
  <c r="I10" i="1"/>
  <c r="H11" i="2" s="1"/>
  <c r="E56" i="1"/>
  <c r="F10" i="1"/>
  <c r="E11" i="2" s="1"/>
  <c r="G10" i="1"/>
  <c r="F11" i="2" s="1"/>
  <c r="D10" i="1"/>
  <c r="C11" i="2" s="1"/>
  <c r="E12" i="1"/>
  <c r="E11" i="1"/>
  <c r="D24" i="1"/>
  <c r="G25" i="1"/>
  <c r="G24" i="1" s="1"/>
  <c r="F14" i="2" s="1"/>
  <c r="F25" i="1"/>
  <c r="F16" i="1"/>
  <c r="F13" i="1" s="1"/>
  <c r="E66" i="1"/>
  <c r="E65" i="1" s="1"/>
  <c r="E64" i="1"/>
  <c r="E63" i="1"/>
  <c r="E61" i="1"/>
  <c r="E60" i="1"/>
  <c r="E59" i="1"/>
  <c r="E55" i="1"/>
  <c r="E54" i="1"/>
  <c r="E52" i="1"/>
  <c r="E51" i="1"/>
  <c r="E50" i="1"/>
  <c r="E46" i="1"/>
  <c r="E45" i="1" s="1"/>
  <c r="E49" i="1"/>
  <c r="E44" i="1"/>
  <c r="E43" i="1"/>
  <c r="E36" i="1"/>
  <c r="E35" i="1" s="1"/>
  <c r="E34" i="1" s="1"/>
  <c r="E33" i="1"/>
  <c r="E32" i="1" s="1"/>
  <c r="E29" i="1"/>
  <c r="E28" i="1"/>
  <c r="E27" i="1"/>
  <c r="E26" i="1"/>
  <c r="E23" i="1"/>
  <c r="E22" i="1"/>
  <c r="E21" i="1" s="1"/>
  <c r="E20" i="1" s="1"/>
  <c r="E15" i="1"/>
  <c r="E18" i="1"/>
  <c r="B14" i="2"/>
  <c r="I65" i="1"/>
  <c r="G65" i="1"/>
  <c r="F65" i="1"/>
  <c r="I62" i="1"/>
  <c r="G62" i="1"/>
  <c r="F62" i="1"/>
  <c r="I58" i="1"/>
  <c r="G58" i="1"/>
  <c r="F58" i="1"/>
  <c r="I53" i="1"/>
  <c r="G53" i="1"/>
  <c r="F53" i="1"/>
  <c r="I48" i="1"/>
  <c r="G48" i="1"/>
  <c r="G47" i="1" s="1"/>
  <c r="F48" i="1"/>
  <c r="I45" i="1"/>
  <c r="I41" i="1" s="1"/>
  <c r="G45" i="1"/>
  <c r="F45" i="1"/>
  <c r="I42" i="1"/>
  <c r="G42" i="1"/>
  <c r="G41" i="1" s="1"/>
  <c r="F42" i="1"/>
  <c r="F41" i="1" s="1"/>
  <c r="I38" i="1"/>
  <c r="I37" i="1" s="1"/>
  <c r="G38" i="1"/>
  <c r="G37" i="1" s="1"/>
  <c r="F38" i="1"/>
  <c r="F37" i="1" s="1"/>
  <c r="E38" i="1"/>
  <c r="E37" i="1" s="1"/>
  <c r="I35" i="1"/>
  <c r="I34" i="1" s="1"/>
  <c r="G35" i="1"/>
  <c r="G34" i="1" s="1"/>
  <c r="F35" i="1"/>
  <c r="F34" i="1" s="1"/>
  <c r="I32" i="1"/>
  <c r="G32" i="1"/>
  <c r="F32" i="1"/>
  <c r="E16" i="2" s="1"/>
  <c r="I21" i="1"/>
  <c r="I20" i="1" s="1"/>
  <c r="H13" i="2" s="1"/>
  <c r="G21" i="1"/>
  <c r="G20" i="1" s="1"/>
  <c r="F13" i="2" s="1"/>
  <c r="F21" i="1"/>
  <c r="F20" i="1"/>
  <c r="E13" i="2" s="1"/>
  <c r="C14" i="2"/>
  <c r="D21" i="1"/>
  <c r="D20" i="1" s="1"/>
  <c r="D13" i="1"/>
  <c r="C12" i="2" s="1"/>
  <c r="D65" i="1"/>
  <c r="D62" i="1"/>
  <c r="D58" i="1"/>
  <c r="D53" i="1"/>
  <c r="D51" i="1"/>
  <c r="D48" i="1" s="1"/>
  <c r="D47" i="1" s="1"/>
  <c r="D45" i="1"/>
  <c r="D42" i="1"/>
  <c r="D38" i="1"/>
  <c r="D37" i="1" s="1"/>
  <c r="D35" i="1"/>
  <c r="D34" i="1"/>
  <c r="D32" i="1"/>
  <c r="D21" i="11"/>
  <c r="L21" i="11" s="1"/>
  <c r="F13" i="11"/>
  <c r="G13" i="11"/>
  <c r="D13" i="11"/>
  <c r="D9" i="11"/>
  <c r="D8" i="11" s="1"/>
  <c r="H17" i="11"/>
  <c r="H13" i="11" s="1"/>
  <c r="L13" i="11" s="1"/>
  <c r="I17" i="11"/>
  <c r="L23" i="11"/>
  <c r="E23" i="11"/>
  <c r="I23" i="11" s="1"/>
  <c r="I21" i="11" s="1"/>
  <c r="L22" i="11"/>
  <c r="F22" i="11"/>
  <c r="E22" i="11"/>
  <c r="J21" i="11"/>
  <c r="H21" i="11"/>
  <c r="G21" i="11"/>
  <c r="L20" i="11"/>
  <c r="G20" i="11"/>
  <c r="E20" i="11"/>
  <c r="L19" i="11"/>
  <c r="I19" i="11"/>
  <c r="L18" i="11"/>
  <c r="G18" i="11"/>
  <c r="E18" i="11" s="1"/>
  <c r="I18" i="11" s="1"/>
  <c r="G17" i="11"/>
  <c r="E17" i="11"/>
  <c r="L16" i="11"/>
  <c r="E16" i="11"/>
  <c r="L15" i="11"/>
  <c r="I15" i="11"/>
  <c r="L14" i="11"/>
  <c r="E14" i="11"/>
  <c r="L12" i="11"/>
  <c r="G12" i="11"/>
  <c r="G9" i="11" s="1"/>
  <c r="G8" i="11" s="1"/>
  <c r="F12" i="11"/>
  <c r="E12" i="11" s="1"/>
  <c r="L11" i="11"/>
  <c r="E11" i="11"/>
  <c r="I11" i="11"/>
  <c r="H10" i="11"/>
  <c r="H9" i="11"/>
  <c r="F10" i="11"/>
  <c r="E10" i="11"/>
  <c r="I10" i="11" s="1"/>
  <c r="F21" i="11"/>
  <c r="L17" i="11"/>
  <c r="L10" i="11"/>
  <c r="I20" i="11"/>
  <c r="I22" i="11"/>
  <c r="I14" i="11"/>
  <c r="I24" i="1"/>
  <c r="H14" i="2" s="1"/>
  <c r="I13" i="1"/>
  <c r="H12" i="2" s="1"/>
  <c r="I12" i="2" s="1"/>
  <c r="K30" i="1" l="1"/>
  <c r="F47" i="1"/>
  <c r="I31" i="1"/>
  <c r="H16" i="2" s="1"/>
  <c r="I57" i="1"/>
  <c r="E10" i="1"/>
  <c r="H10" i="1" s="1"/>
  <c r="E62" i="1"/>
  <c r="G13" i="1"/>
  <c r="F12" i="2" s="1"/>
  <c r="F10" i="2" s="1"/>
  <c r="C13" i="2"/>
  <c r="I13" i="2" s="1"/>
  <c r="J20" i="1"/>
  <c r="F31" i="1"/>
  <c r="E42" i="1"/>
  <c r="E41" i="1" s="1"/>
  <c r="E53" i="1"/>
  <c r="E25" i="1"/>
  <c r="E24" i="1" s="1"/>
  <c r="H24" i="1" s="1"/>
  <c r="E48" i="1"/>
  <c r="E58" i="1"/>
  <c r="D57" i="1"/>
  <c r="D40" i="1" s="1"/>
  <c r="C17" i="2" s="1"/>
  <c r="D31" i="1"/>
  <c r="C16" i="2" s="1"/>
  <c r="E14" i="1"/>
  <c r="G57" i="1"/>
  <c r="G40" i="1" s="1"/>
  <c r="F17" i="2" s="1"/>
  <c r="I14" i="2"/>
  <c r="D41" i="1"/>
  <c r="M57" i="1"/>
  <c r="M40" i="1" s="1"/>
  <c r="L17" i="2" s="1"/>
  <c r="E16" i="1"/>
  <c r="E13" i="1" s="1"/>
  <c r="D12" i="2" s="1"/>
  <c r="J10" i="1"/>
  <c r="J24" i="1"/>
  <c r="I47" i="1"/>
  <c r="I40" i="1" s="1"/>
  <c r="F57" i="1"/>
  <c r="F24" i="1"/>
  <c r="E14" i="2" s="1"/>
  <c r="N10" i="1"/>
  <c r="N13" i="1"/>
  <c r="G31" i="1"/>
  <c r="M14" i="2"/>
  <c r="M31" i="1"/>
  <c r="L16" i="2" s="1"/>
  <c r="D13" i="2"/>
  <c r="H20" i="1"/>
  <c r="H10" i="2"/>
  <c r="I11" i="2"/>
  <c r="H8" i="11"/>
  <c r="L8" i="11" s="1"/>
  <c r="E57" i="1"/>
  <c r="I12" i="11"/>
  <c r="I9" i="11" s="1"/>
  <c r="I8" i="11" s="1"/>
  <c r="E9" i="11"/>
  <c r="E13" i="11"/>
  <c r="E31" i="1"/>
  <c r="L9" i="11"/>
  <c r="M9" i="1"/>
  <c r="L11" i="2"/>
  <c r="J13" i="1"/>
  <c r="E21" i="11"/>
  <c r="N20" i="1"/>
  <c r="L12" i="2"/>
  <c r="M12" i="2" s="1"/>
  <c r="F16" i="2"/>
  <c r="I16" i="11"/>
  <c r="I13" i="11" s="1"/>
  <c r="I9" i="1"/>
  <c r="D11" i="2"/>
  <c r="G11" i="2" s="1"/>
  <c r="N24" i="1"/>
  <c r="D9" i="1"/>
  <c r="F9" i="11"/>
  <c r="F8" i="11" s="1"/>
  <c r="E12" i="2"/>
  <c r="G9" i="1"/>
  <c r="C10" i="2" l="1"/>
  <c r="I16" i="2"/>
  <c r="D14" i="2"/>
  <c r="G14" i="2" s="1"/>
  <c r="F40" i="1"/>
  <c r="C15" i="2"/>
  <c r="G13" i="2"/>
  <c r="M17" i="2"/>
  <c r="D30" i="1"/>
  <c r="D8" i="1" s="1"/>
  <c r="C9" i="2" s="1"/>
  <c r="F15" i="2"/>
  <c r="E47" i="1"/>
  <c r="E40" i="1" s="1"/>
  <c r="D17" i="2" s="1"/>
  <c r="G17" i="2" s="1"/>
  <c r="G30" i="1"/>
  <c r="G8" i="1" s="1"/>
  <c r="F9" i="2" s="1"/>
  <c r="I10" i="2"/>
  <c r="M13" i="2"/>
  <c r="J31" i="1"/>
  <c r="I30" i="1"/>
  <c r="H17" i="2"/>
  <c r="H15" i="2" s="1"/>
  <c r="I15" i="2" s="1"/>
  <c r="J40" i="1"/>
  <c r="M30" i="1"/>
  <c r="M8" i="1" s="1"/>
  <c r="F9" i="1"/>
  <c r="E10" i="2"/>
  <c r="J9" i="1"/>
  <c r="F30" i="1"/>
  <c r="E17" i="2"/>
  <c r="E15" i="2" s="1"/>
  <c r="M11" i="2"/>
  <c r="L10" i="2"/>
  <c r="M10" i="2" s="1"/>
  <c r="N9" i="1"/>
  <c r="D10" i="2"/>
  <c r="G10" i="2" s="1"/>
  <c r="L15" i="2"/>
  <c r="M16" i="2"/>
  <c r="D16" i="2"/>
  <c r="H31" i="1"/>
  <c r="E8" i="11"/>
  <c r="E9" i="1"/>
  <c r="G12" i="2"/>
  <c r="H13" i="1"/>
  <c r="M15" i="2" l="1"/>
  <c r="J30" i="1"/>
  <c r="I8" i="1"/>
  <c r="J8" i="1" s="1"/>
  <c r="E30" i="1"/>
  <c r="H30" i="1" s="1"/>
  <c r="I17" i="2"/>
  <c r="H40" i="1"/>
  <c r="F8" i="1"/>
  <c r="E9" i="2" s="1"/>
  <c r="G16" i="2"/>
  <c r="D15" i="2"/>
  <c r="G15" i="2" s="1"/>
  <c r="L9" i="2"/>
  <c r="M9" i="2" s="1"/>
  <c r="N8" i="1"/>
  <c r="H9" i="2"/>
  <c r="I9" i="2" s="1"/>
  <c r="H9" i="1"/>
  <c r="E8" i="1" l="1"/>
  <c r="D9" i="2" l="1"/>
  <c r="G9" i="2" s="1"/>
  <c r="H8" i="1"/>
</calcChain>
</file>

<file path=xl/sharedStrings.xml><?xml version="1.0" encoding="utf-8"?>
<sst xmlns="http://schemas.openxmlformats.org/spreadsheetml/2006/main" count="172" uniqueCount="100">
  <si>
    <t>Đvt: triệu đồng</t>
  </si>
  <si>
    <t>STT</t>
  </si>
  <si>
    <t>Nguồn vốn đầu tư/Số dự án</t>
  </si>
  <si>
    <t>Mã dự án</t>
  </si>
  <si>
    <t>Ghi chú</t>
  </si>
  <si>
    <t>Tổng số</t>
  </si>
  <si>
    <t>TỔNG SỐ (A+B)</t>
  </si>
  <si>
    <t>A</t>
  </si>
  <si>
    <t>VỐN NGÂN SÁCH TẬP TRUNG</t>
  </si>
  <si>
    <t>I</t>
  </si>
  <si>
    <t>Thanh toán công trình chuyển tiếp</t>
  </si>
  <si>
    <t>Lĩnh vực giáo dục và đào tạo</t>
  </si>
  <si>
    <t>Lĩnh vực Hạ tầng đô thị, CN-TMDL</t>
  </si>
  <si>
    <t>II</t>
  </si>
  <si>
    <t>Trường MG An Bình B (điểm chính)</t>
  </si>
  <si>
    <t>B</t>
  </si>
  <si>
    <t>VỐN THU TIỀN SỬ DỤNG ĐẤT</t>
  </si>
  <si>
    <t>Thanh toán nợ + Đối ứng và hoàn trả ứng vốn</t>
  </si>
  <si>
    <t>Thanh toán nợ + Đối ứng</t>
  </si>
  <si>
    <t>Thanh toán tất toán công trình hoàn thành (chi phí kiểm toán, chi phí thẩm tra phê duyệt quyết toán các công trình hoàn thành)</t>
  </si>
  <si>
    <t>Đối ứng các công trình Tỉnh hỗ trợ và các chương trình MTQG</t>
  </si>
  <si>
    <t>Hoàn trả ứng vốn</t>
  </si>
  <si>
    <t>Khu tái định cư An Lạc</t>
  </si>
  <si>
    <t>Nâng cấp, mở rộng và hệ thống thoát nước Đường Trần Phú</t>
  </si>
  <si>
    <t>Chỉnh trang đô thị khu đô thị An Thạnh</t>
  </si>
  <si>
    <t>Lĩnh vực giao thông</t>
  </si>
  <si>
    <t>Cầu Trần Hưng Đạo (bắc qua Mương Nhà Máy)</t>
  </si>
  <si>
    <t>Mở rộng đường dân sinh đấu nối với Đường Thoại Ngọc Hầu, khóm Sở Thượng, phường An Lạc</t>
  </si>
  <si>
    <t>Xử lý sạt lỡ bờ sông tiền khu vực An Lạc, thành phố Hồng Ngự và khu vực Tịnh Thới, thành phố Cao Lãnh, tỉnh Đồng Tháp</t>
  </si>
  <si>
    <t>Cầu Bình Hưng (đấu nối đường Nguyễn Tất Thành)</t>
  </si>
  <si>
    <t>Trong đó</t>
  </si>
  <si>
    <t>Thanh toán khối lượng hoàn thành</t>
  </si>
  <si>
    <t>Vốn tạm ứng theo chế độ chưa thu hồi</t>
  </si>
  <si>
    <t>Tỷ lệ</t>
  </si>
  <si>
    <t xml:space="preserve">Tỷ lệ </t>
  </si>
  <si>
    <t>TỔNG SỐ</t>
  </si>
  <si>
    <t>Vốn Tỉnh quản lý</t>
  </si>
  <si>
    <t>Vốn XSKT</t>
  </si>
  <si>
    <t xml:space="preserve">Vốn NSTT Tỉnh hỗ trợ có mục tiêu </t>
  </si>
  <si>
    <t>Vốn Thành phố quản lý</t>
  </si>
  <si>
    <t xml:space="preserve">Vốn Ngân sách tập trung </t>
  </si>
  <si>
    <t>Vốn thu tiền sử dụng đất</t>
  </si>
  <si>
    <t>Trường THCS An Lạc</t>
  </si>
  <si>
    <t>Trường MG Phường An Lạc</t>
  </si>
  <si>
    <t>Trường TH An Thạnh 1</t>
  </si>
  <si>
    <t>Hạ tầng khu đô thị Bắc An Thành</t>
  </si>
  <si>
    <t>Dự án chuyển tiếp</t>
  </si>
  <si>
    <t>Số dư tạm ứng</t>
  </si>
  <si>
    <t>Điều chỉnh kế hoạch vốn năm 2023</t>
  </si>
  <si>
    <t>Cải tạo, sửa chữa Đền thờ liệt sĩ thành phố Hồng Ngự</t>
  </si>
  <si>
    <t xml:space="preserve">	7891903</t>
  </si>
  <si>
    <t>Đường Trần Hưng Đạo (Lê Thị Hồng Gấm đến Nguyễn Huệ)</t>
  </si>
  <si>
    <t>III</t>
  </si>
  <si>
    <t>Vốn cây xanh năm 2023 (đợt 1)</t>
  </si>
  <si>
    <t>V</t>
  </si>
  <si>
    <t>Chăm sóc cây xanh đô thị thành phố Hồng Ngự năm 2022 - 2024</t>
  </si>
  <si>
    <t>Đường kết nối Cụm công nghiệp</t>
  </si>
  <si>
    <t>Đường Võ Nguyên Giáp, phường An Lộc</t>
  </si>
  <si>
    <t>Dự kiến trong tháng tạm ứng phương án bồi thường lần 2</t>
  </si>
  <si>
    <t>Sửa chữa, nâng cấp đal Cù lao Vàm xếp</t>
  </si>
  <si>
    <t>Giá trị còn lại</t>
  </si>
  <si>
    <t>Trường TH Tân Hội (Điểm Tân Hòa)</t>
  </si>
  <si>
    <t>Ước giá trị giá trị giải ngân đến hết tháng 12</t>
  </si>
  <si>
    <t>BÁO CÁO KẾT QUẢ THANH TOÁN VỐN ĐẦU TƯ CÔNG KẾ HOẠCH NĂM 2023 - KỲ THÁNG 12</t>
  </si>
  <si>
    <t>Dự kiến trong tháng tạm ứng phương án bồi thường</t>
  </si>
  <si>
    <t>Chủ đầu tư Phòng Lao Động TB&amp;XH</t>
  </si>
  <si>
    <t>Đang trình Phòng TCKH phê duyệt dự toán 2% chi phí thực hiện BT</t>
  </si>
  <si>
    <t>Trồng cây xanh các điểm trường</t>
  </si>
  <si>
    <t>Chi phí GKST: 10.193.000, Thẩm tra QT: 8.007.000, kiểm tra nghiệm thu: 4.587.000</t>
  </si>
  <si>
    <t>Đề xuất đôi biểu</t>
  </si>
  <si>
    <t>Xã Tân Hội chủ đầu tư</t>
  </si>
  <si>
    <t>Lũy kế giá trị giải ngân đến 28/12/2023</t>
  </si>
  <si>
    <t xml:space="preserve">Hạ tầng khu đô thị Bắc An Thành </t>
  </si>
  <si>
    <t xml:space="preserve">Chỉnh trang đô thị khu đô thị An Thạnh </t>
  </si>
  <si>
    <t>Đường Nguyễn Tất Thành, phường An Lộc</t>
  </si>
  <si>
    <t>Chỉnh trang đô thị và cải thiện môi trường Tuyến dân cư Mương Nhà Máy</t>
  </si>
  <si>
    <t>Đường ra biên giới, xã Tân Hội</t>
  </si>
  <si>
    <t>Đường kết nối cụm công nghiệp</t>
  </si>
  <si>
    <t>Thanh toán nợ + Đối ứng Chương trình MTQG XDNTM</t>
  </si>
  <si>
    <t>Công trình khởi công mới năm 2024</t>
  </si>
  <si>
    <t xml:space="preserve">Nâng cấp, cải tạo kênh Hồng Ngự - Vĩnh Hưng </t>
  </si>
  <si>
    <t>Đường Nguyễn Tất Thành - phường An Lộc</t>
  </si>
  <si>
    <t>Khu tái định cư An Lạc (Khu 2)</t>
  </si>
  <si>
    <t>Cống thoát nước sau dãy nhà Khu đô thị Bờ Bắc - kênh Hồng Ngự Vĩnh Hưng</t>
  </si>
  <si>
    <t>Nạo vét tạo nguồn tuyến kênh Thống Nhất – Khu 8,9,10 (từ sông Sở Hạ đến kênh Hồng Ngự - Vĩnh Hưng)</t>
  </si>
  <si>
    <t>Đường vào Trường THCS và Mẫu giáo An Lạc</t>
  </si>
  <si>
    <t xml:space="preserve">	8057907</t>
  </si>
  <si>
    <t>Điều chỉnh kế hoạch vốn năm 2024</t>
  </si>
  <si>
    <t xml:space="preserve">Điều chỉnh kế hoạch vốn năm 2024 </t>
  </si>
  <si>
    <t xml:space="preserve">Vốn Tiền sử dụng đất Tỉnh </t>
  </si>
  <si>
    <t>Ước giá trị giá trị giải ngân Quý I/2024</t>
  </si>
  <si>
    <t>Vốn Chương trình MTQG XD NTM năm 2024</t>
  </si>
  <si>
    <t>Nhựa hóa đường nhánh CDC Trung tâm xã (giai đoạn 2)</t>
  </si>
  <si>
    <t>Mở rộng và nâng cấp đường TDC Cần Sen 1</t>
  </si>
  <si>
    <t>IV</t>
  </si>
  <si>
    <t xml:space="preserve">BÁO CÁO KẾT QUẢ THANH TOÁN VỐN ĐẦU TƯ CÔNG KẾ HOẠCH NĂM 2024 </t>
  </si>
  <si>
    <t>Lũy kế giá trị giải ngân đến ngày báo cáo</t>
  </si>
  <si>
    <t>(Kèm theo Báo cáo số:      /BC-UBND ngày       tháng      năm 2024 của UBND Thành phố).</t>
  </si>
  <si>
    <t>Luỹ kế giá trị giải ngân Quý II/2024</t>
  </si>
  <si>
    <t>Ước giá trị giải ngân Quý II/2024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</si>
</sst>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#,##0.00\ &quot;₫&quot;;\-#,##0.00\ &quot;₫&quot;"/>
    <numFmt numFmtId="167" formatCode="#,##0\ &quot;þ&quot;;[Red]\-#,##0\ &quot;þ&quot;"/>
    <numFmt numFmtId="168" formatCode="_-&quot;$&quot;* #,##0_-;\-&quot;$&quot;* #,##0_-;_-&quot;$&quot;* &quot;-&quot;_-;_-@_-"/>
    <numFmt numFmtId="169" formatCode="#,##0.000"/>
    <numFmt numFmtId="170" formatCode="_(* #,##0.000_);_(* \(#,##0.000\);_(* &quot;-&quot;??_);_(@_)"/>
  </numFmts>
  <fonts count="5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.VnTime"/>
      <family val="2"/>
    </font>
    <font>
      <sz val="14"/>
      <name val="Times New Roman"/>
      <family val="1"/>
    </font>
    <font>
      <sz val="10"/>
      <name val="VNI-Times"/>
    </font>
    <font>
      <sz val="10"/>
      <name val="VNI-Helve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  <scheme val="minor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  <charset val="163"/>
      <scheme val="minor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-BoldMT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i/>
      <sz val="1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7" applyNumberFormat="0" applyAlignment="0" applyProtection="0"/>
    <xf numFmtId="0" fontId="14" fillId="27" borderId="8" applyNumberFormat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29" borderId="7" applyNumberFormat="0" applyAlignment="0" applyProtection="0"/>
    <xf numFmtId="0" fontId="22" fillId="0" borderId="12" applyNumberFormat="0" applyFill="0" applyAlignment="0" applyProtection="0"/>
    <xf numFmtId="0" fontId="23" fillId="30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5" fillId="0" borderId="0"/>
    <xf numFmtId="0" fontId="6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5" fillId="0" borderId="0"/>
    <xf numFmtId="0" fontId="2" fillId="0" borderId="0"/>
    <xf numFmtId="0" fontId="1" fillId="31" borderId="13" applyNumberFormat="0" applyFont="0" applyAlignment="0" applyProtection="0"/>
    <xf numFmtId="0" fontId="26" fillId="26" borderId="14" applyNumberFormat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211">
    <xf numFmtId="0" fontId="0" fillId="0" borderId="0" xfId="0"/>
    <xf numFmtId="0" fontId="10" fillId="0" borderId="0" xfId="93"/>
    <xf numFmtId="0" fontId="30" fillId="0" borderId="0" xfId="93" applyFont="1" applyAlignment="1">
      <alignment horizontal="right" vertical="center" wrapText="1"/>
    </xf>
    <xf numFmtId="0" fontId="30" fillId="0" borderId="0" xfId="93" applyFont="1" applyAlignment="1">
      <alignment horizontal="center" vertical="center" wrapText="1"/>
    </xf>
    <xf numFmtId="10" fontId="30" fillId="0" borderId="0" xfId="93" applyNumberFormat="1" applyFont="1" applyAlignment="1">
      <alignment horizontal="center" vertical="center" wrapText="1"/>
    </xf>
    <xf numFmtId="169" fontId="31" fillId="0" borderId="1" xfId="93" applyNumberFormat="1" applyFont="1" applyBorder="1" applyAlignment="1">
      <alignment horizontal="center" vertical="center" wrapText="1"/>
    </xf>
    <xf numFmtId="10" fontId="31" fillId="0" borderId="1" xfId="93" applyNumberFormat="1" applyFont="1" applyBorder="1" applyAlignment="1">
      <alignment horizontal="center" vertical="center" wrapText="1"/>
    </xf>
    <xf numFmtId="169" fontId="32" fillId="0" borderId="1" xfId="93" applyNumberFormat="1" applyFont="1" applyBorder="1" applyAlignment="1">
      <alignment horizontal="center" vertical="center" wrapText="1"/>
    </xf>
    <xf numFmtId="10" fontId="32" fillId="0" borderId="1" xfId="93" applyNumberFormat="1" applyFont="1" applyBorder="1" applyAlignment="1">
      <alignment horizontal="center" vertical="center" wrapText="1"/>
    </xf>
    <xf numFmtId="169" fontId="33" fillId="0" borderId="1" xfId="93" applyNumberFormat="1" applyFont="1" applyBorder="1" applyAlignment="1">
      <alignment horizontal="center" vertical="center" wrapText="1"/>
    </xf>
    <xf numFmtId="169" fontId="31" fillId="0" borderId="1" xfId="93" applyNumberFormat="1" applyFont="1" applyBorder="1" applyAlignment="1">
      <alignment vertical="center" wrapText="1"/>
    </xf>
    <xf numFmtId="169" fontId="32" fillId="0" borderId="1" xfId="93" applyNumberFormat="1" applyFont="1" applyBorder="1" applyAlignment="1">
      <alignment vertical="center" wrapText="1"/>
    </xf>
    <xf numFmtId="169" fontId="32" fillId="0" borderId="1" xfId="93" quotePrefix="1" applyNumberFormat="1" applyFont="1" applyBorder="1" applyAlignment="1">
      <alignment horizontal="center" vertical="center" wrapText="1"/>
    </xf>
    <xf numFmtId="169" fontId="32" fillId="0" borderId="1" xfId="93" applyNumberFormat="1" applyFont="1" applyBorder="1" applyAlignment="1">
      <alignment horizontal="left" vertical="center" wrapText="1"/>
    </xf>
    <xf numFmtId="169" fontId="0" fillId="0" borderId="0" xfId="0" applyNumberFormat="1"/>
    <xf numFmtId="10" fontId="34" fillId="0" borderId="0" xfId="61" applyNumberFormat="1" applyFont="1" applyAlignment="1">
      <alignment horizontal="center" vertical="center" wrapText="1"/>
    </xf>
    <xf numFmtId="1" fontId="10" fillId="0" borderId="0" xfId="61" applyNumberFormat="1" applyAlignment="1">
      <alignment horizontal="center"/>
    </xf>
    <xf numFmtId="0" fontId="34" fillId="0" borderId="0" xfId="61" applyFont="1" applyAlignment="1">
      <alignment horizontal="center" vertical="center" wrapText="1"/>
    </xf>
    <xf numFmtId="169" fontId="34" fillId="0" borderId="0" xfId="61" applyNumberFormat="1" applyFont="1" applyAlignment="1">
      <alignment horizontal="center" vertical="center" wrapText="1"/>
    </xf>
    <xf numFmtId="0" fontId="35" fillId="0" borderId="0" xfId="61" applyFont="1" applyAlignment="1">
      <alignment horizontal="right"/>
    </xf>
    <xf numFmtId="169" fontId="0" fillId="0" borderId="0" xfId="0" applyNumberFormat="1" applyAlignment="1">
      <alignment horizontal="center" vertical="center"/>
    </xf>
    <xf numFmtId="0" fontId="10" fillId="0" borderId="0" xfId="61" applyAlignment="1">
      <alignment horizontal="center"/>
    </xf>
    <xf numFmtId="0" fontId="10" fillId="0" borderId="0" xfId="61" applyAlignment="1">
      <alignment wrapText="1"/>
    </xf>
    <xf numFmtId="169" fontId="0" fillId="0" borderId="1" xfId="0" applyNumberFormat="1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169" fontId="9" fillId="0" borderId="1" xfId="0" applyNumberFormat="1" applyFont="1" applyBorder="1" applyAlignment="1">
      <alignment horizontal="center" vertical="center" wrapText="1"/>
    </xf>
    <xf numFmtId="169" fontId="33" fillId="0" borderId="1" xfId="92" applyNumberFormat="1" applyFont="1" applyBorder="1" applyAlignment="1">
      <alignment horizontal="center" vertical="center" wrapText="1"/>
    </xf>
    <xf numFmtId="0" fontId="9" fillId="32" borderId="1" xfId="0" applyFont="1" applyFill="1" applyBorder="1" applyAlignment="1">
      <alignment vertical="center" wrapText="1"/>
    </xf>
    <xf numFmtId="1" fontId="36" fillId="0" borderId="3" xfId="61" applyNumberFormat="1" applyFont="1" applyBorder="1" applyAlignment="1">
      <alignment horizontal="center" vertical="center" wrapText="1"/>
    </xf>
    <xf numFmtId="0" fontId="36" fillId="0" borderId="1" xfId="61" applyFont="1" applyBorder="1" applyAlignment="1">
      <alignment horizontal="center" vertical="center"/>
    </xf>
    <xf numFmtId="0" fontId="33" fillId="0" borderId="1" xfId="61" applyFont="1" applyBorder="1" applyAlignment="1">
      <alignment horizontal="center" vertical="center" wrapText="1"/>
    </xf>
    <xf numFmtId="1" fontId="36" fillId="0" borderId="1" xfId="61" applyNumberFormat="1" applyFont="1" applyBorder="1" applyAlignment="1">
      <alignment horizontal="center" vertical="center" wrapText="1"/>
    </xf>
    <xf numFmtId="169" fontId="33" fillId="0" borderId="1" xfId="61" applyNumberFormat="1" applyFont="1" applyBorder="1" applyAlignment="1">
      <alignment horizontal="center" vertical="center" wrapText="1"/>
    </xf>
    <xf numFmtId="3" fontId="36" fillId="0" borderId="1" xfId="61" applyNumberFormat="1" applyFont="1" applyBorder="1" applyAlignment="1">
      <alignment horizontal="center" vertical="center" wrapText="1"/>
    </xf>
    <xf numFmtId="0" fontId="33" fillId="0" borderId="1" xfId="61" applyFont="1" applyBorder="1" applyAlignment="1">
      <alignment horizontal="center" vertical="center"/>
    </xf>
    <xf numFmtId="0" fontId="33" fillId="0" borderId="1" xfId="61" applyFont="1" applyBorder="1" applyAlignment="1">
      <alignment vertical="center" wrapText="1"/>
    </xf>
    <xf numFmtId="1" fontId="33" fillId="0" borderId="1" xfId="61" applyNumberFormat="1" applyFont="1" applyBorder="1" applyAlignment="1">
      <alignment horizontal="center" vertical="center" wrapText="1"/>
    </xf>
    <xf numFmtId="3" fontId="33" fillId="0" borderId="1" xfId="61" applyNumberFormat="1" applyFont="1" applyBorder="1" applyAlignment="1">
      <alignment horizontal="center" vertical="center" wrapText="1"/>
    </xf>
    <xf numFmtId="1" fontId="36" fillId="0" borderId="1" xfId="95" applyNumberFormat="1" applyFont="1" applyBorder="1" applyAlignment="1">
      <alignment horizontal="center" vertical="center"/>
    </xf>
    <xf numFmtId="3" fontId="36" fillId="0" borderId="1" xfId="56" applyNumberFormat="1" applyFont="1" applyBorder="1" applyAlignment="1">
      <alignment horizontal="justify" vertical="center" wrapText="1"/>
    </xf>
    <xf numFmtId="169" fontId="36" fillId="0" borderId="1" xfId="55" applyNumberFormat="1" applyFont="1" applyBorder="1" applyAlignment="1">
      <alignment horizontal="center" vertical="center" wrapText="1"/>
    </xf>
    <xf numFmtId="169" fontId="36" fillId="0" borderId="1" xfId="61" applyNumberFormat="1" applyFont="1" applyBorder="1" applyAlignment="1">
      <alignment horizontal="center" vertical="center" wrapText="1"/>
    </xf>
    <xf numFmtId="1" fontId="37" fillId="0" borderId="1" xfId="58" applyNumberFormat="1" applyFont="1" applyBorder="1" applyAlignment="1">
      <alignment horizontal="center" vertical="center" shrinkToFit="1"/>
    </xf>
    <xf numFmtId="0" fontId="8" fillId="0" borderId="1" xfId="58" applyFont="1" applyBorder="1" applyAlignment="1">
      <alignment vertical="center" wrapText="1"/>
    </xf>
    <xf numFmtId="169" fontId="37" fillId="0" borderId="1" xfId="58" applyNumberFormat="1" applyFont="1" applyBorder="1" applyAlignment="1">
      <alignment horizontal="center" vertical="center" shrinkToFit="1"/>
    </xf>
    <xf numFmtId="1" fontId="33" fillId="0" borderId="1" xfId="95" applyNumberFormat="1" applyFont="1" applyBorder="1" applyAlignment="1">
      <alignment horizontal="center" vertical="center"/>
    </xf>
    <xf numFmtId="3" fontId="33" fillId="0" borderId="1" xfId="56" applyNumberFormat="1" applyFont="1" applyBorder="1" applyAlignment="1">
      <alignment horizontal="justify" vertical="center" wrapText="1"/>
    </xf>
    <xf numFmtId="0" fontId="36" fillId="0" borderId="1" xfId="61" applyFont="1" applyBorder="1" applyAlignment="1">
      <alignment horizontal="left" vertical="center" wrapText="1"/>
    </xf>
    <xf numFmtId="1" fontId="36" fillId="0" borderId="1" xfId="31" applyNumberFormat="1" applyFont="1" applyFill="1" applyBorder="1" applyAlignment="1">
      <alignment horizontal="center" vertical="center" wrapText="1"/>
    </xf>
    <xf numFmtId="169" fontId="36" fillId="0" borderId="1" xfId="61" applyNumberFormat="1" applyFont="1" applyBorder="1" applyAlignment="1">
      <alignment horizontal="center" vertical="center"/>
    </xf>
    <xf numFmtId="1" fontId="38" fillId="32" borderId="1" xfId="61" applyNumberFormat="1" applyFont="1" applyFill="1" applyBorder="1" applyAlignment="1">
      <alignment horizontal="center" vertical="center" wrapText="1"/>
    </xf>
    <xf numFmtId="169" fontId="38" fillId="32" borderId="1" xfId="61" applyNumberFormat="1" applyFont="1" applyFill="1" applyBorder="1" applyAlignment="1">
      <alignment horizontal="center" vertical="center"/>
    </xf>
    <xf numFmtId="169" fontId="36" fillId="32" borderId="1" xfId="61" applyNumberFormat="1" applyFont="1" applyFill="1" applyBorder="1" applyAlignment="1">
      <alignment horizontal="center" vertical="center" wrapText="1"/>
    </xf>
    <xf numFmtId="3" fontId="38" fillId="32" borderId="1" xfId="61" applyNumberFormat="1" applyFont="1" applyFill="1" applyBorder="1" applyAlignment="1">
      <alignment horizontal="center" vertical="center" wrapText="1"/>
    </xf>
    <xf numFmtId="169" fontId="36" fillId="0" borderId="1" xfId="61" applyNumberFormat="1" applyFont="1" applyBorder="1" applyAlignment="1">
      <alignment horizontal="center" vertical="center" shrinkToFit="1"/>
    </xf>
    <xf numFmtId="0" fontId="39" fillId="0" borderId="0" xfId="61" applyFont="1" applyAlignment="1">
      <alignment vertical="center" wrapText="1"/>
    </xf>
    <xf numFmtId="169" fontId="36" fillId="0" borderId="4" xfId="61" applyNumberFormat="1" applyFont="1" applyBorder="1" applyAlignment="1">
      <alignment horizontal="center" vertical="center" wrapText="1"/>
    </xf>
    <xf numFmtId="0" fontId="36" fillId="32" borderId="1" xfId="61" applyFont="1" applyFill="1" applyBorder="1" applyAlignment="1">
      <alignment horizontal="left" vertical="center" wrapText="1"/>
    </xf>
    <xf numFmtId="1" fontId="36" fillId="32" borderId="1" xfId="33" applyNumberFormat="1" applyFont="1" applyFill="1" applyBorder="1" applyAlignment="1">
      <alignment horizontal="center" vertical="center" wrapText="1"/>
    </xf>
    <xf numFmtId="169" fontId="36" fillId="32" borderId="1" xfId="61" applyNumberFormat="1" applyFont="1" applyFill="1" applyBorder="1" applyAlignment="1">
      <alignment horizontal="center" vertical="center"/>
    </xf>
    <xf numFmtId="169" fontId="36" fillId="32" borderId="1" xfId="61" applyNumberFormat="1" applyFont="1" applyFill="1" applyBorder="1" applyAlignment="1">
      <alignment horizontal="center" vertical="center" shrinkToFit="1"/>
    </xf>
    <xf numFmtId="3" fontId="36" fillId="32" borderId="1" xfId="61" applyNumberFormat="1" applyFont="1" applyFill="1" applyBorder="1" applyAlignment="1">
      <alignment horizontal="center" vertical="center" wrapText="1"/>
    </xf>
    <xf numFmtId="0" fontId="36" fillId="0" borderId="1" xfId="64" applyFont="1" applyBorder="1" applyAlignment="1">
      <alignment vertical="center" wrapText="1"/>
    </xf>
    <xf numFmtId="1" fontId="36" fillId="0" borderId="1" xfId="61" applyNumberFormat="1" applyFont="1" applyBorder="1" applyAlignment="1">
      <alignment horizontal="center" vertical="center"/>
    </xf>
    <xf numFmtId="169" fontId="36" fillId="0" borderId="1" xfId="83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1" fontId="33" fillId="0" borderId="1" xfId="0" applyNumberFormat="1" applyFont="1" applyBorder="1" applyAlignment="1">
      <alignment horizontal="center" vertical="center"/>
    </xf>
    <xf numFmtId="169" fontId="3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 vertical="center"/>
    </xf>
    <xf numFmtId="169" fontId="24" fillId="0" borderId="1" xfId="0" applyNumberFormat="1" applyFont="1" applyBorder="1" applyAlignment="1">
      <alignment horizontal="center" vertical="center"/>
    </xf>
    <xf numFmtId="169" fontId="40" fillId="33" borderId="1" xfId="61" applyNumberFormat="1" applyFont="1" applyFill="1" applyBorder="1" applyAlignment="1">
      <alignment horizontal="center" vertical="center" wrapText="1"/>
    </xf>
    <xf numFmtId="169" fontId="33" fillId="32" borderId="1" xfId="61" applyNumberFormat="1" applyFont="1" applyFill="1" applyBorder="1" applyAlignment="1">
      <alignment horizontal="center" vertical="center" wrapText="1"/>
    </xf>
    <xf numFmtId="0" fontId="24" fillId="32" borderId="1" xfId="0" applyFont="1" applyFill="1" applyBorder="1" applyAlignment="1">
      <alignment horizontal="center" vertical="center"/>
    </xf>
    <xf numFmtId="0" fontId="24" fillId="32" borderId="1" xfId="0" applyFont="1" applyFill="1" applyBorder="1" applyAlignment="1">
      <alignment vertical="center" wrapText="1"/>
    </xf>
    <xf numFmtId="1" fontId="24" fillId="32" borderId="1" xfId="0" applyNumberFormat="1" applyFont="1" applyFill="1" applyBorder="1" applyAlignment="1">
      <alignment horizontal="center" vertical="center"/>
    </xf>
    <xf numFmtId="169" fontId="24" fillId="32" borderId="1" xfId="0" applyNumberFormat="1" applyFont="1" applyFill="1" applyBorder="1" applyAlignment="1">
      <alignment horizontal="center" vertical="center"/>
    </xf>
    <xf numFmtId="0" fontId="42" fillId="0" borderId="0" xfId="0" applyFont="1"/>
    <xf numFmtId="169" fontId="42" fillId="34" borderId="1" xfId="61" applyNumberFormat="1" applyFont="1" applyFill="1" applyBorder="1" applyAlignment="1">
      <alignment horizontal="center" vertical="center" wrapText="1"/>
    </xf>
    <xf numFmtId="169" fontId="31" fillId="34" borderId="1" xfId="93" applyNumberFormat="1" applyFont="1" applyFill="1" applyBorder="1" applyAlignment="1">
      <alignment horizontal="center" vertical="center" wrapText="1"/>
    </xf>
    <xf numFmtId="0" fontId="35" fillId="34" borderId="0" xfId="61" applyFont="1" applyFill="1" applyAlignment="1">
      <alignment horizontal="right"/>
    </xf>
    <xf numFmtId="3" fontId="42" fillId="34" borderId="0" xfId="0" applyNumberFormat="1" applyFont="1" applyFill="1"/>
    <xf numFmtId="0" fontId="42" fillId="34" borderId="0" xfId="0" applyFont="1" applyFill="1"/>
    <xf numFmtId="3" fontId="41" fillId="34" borderId="0" xfId="0" applyNumberFormat="1" applyFont="1" applyFill="1"/>
    <xf numFmtId="0" fontId="41" fillId="34" borderId="0" xfId="0" applyFont="1" applyFill="1"/>
    <xf numFmtId="0" fontId="46" fillId="0" borderId="0" xfId="93" quotePrefix="1" applyFont="1" applyAlignment="1">
      <alignment horizontal="center" vertical="center" wrapText="1"/>
    </xf>
    <xf numFmtId="169" fontId="33" fillId="0" borderId="4" xfId="93" applyNumberFormat="1" applyFont="1" applyBorder="1" applyAlignment="1">
      <alignment horizontal="center" vertical="center" wrapText="1"/>
    </xf>
    <xf numFmtId="169" fontId="33" fillId="0" borderId="6" xfId="93" applyNumberFormat="1" applyFont="1" applyBorder="1" applyAlignment="1">
      <alignment horizontal="center" vertical="center" wrapText="1"/>
    </xf>
    <xf numFmtId="169" fontId="33" fillId="0" borderId="3" xfId="93" applyNumberFormat="1" applyFont="1" applyBorder="1" applyAlignment="1">
      <alignment horizontal="center" vertical="center" wrapText="1"/>
    </xf>
    <xf numFmtId="0" fontId="43" fillId="0" borderId="0" xfId="61" applyFont="1" applyAlignment="1">
      <alignment horizontal="center" wrapText="1"/>
    </xf>
    <xf numFmtId="0" fontId="30" fillId="0" borderId="5" xfId="93" applyFont="1" applyBorder="1" applyAlignment="1">
      <alignment horizontal="right" vertical="center" wrapText="1"/>
    </xf>
    <xf numFmtId="169" fontId="33" fillId="0" borderId="1" xfId="93" applyNumberFormat="1" applyFont="1" applyBorder="1" applyAlignment="1">
      <alignment horizontal="center" vertical="center" wrapText="1"/>
    </xf>
    <xf numFmtId="169" fontId="44" fillId="0" borderId="1" xfId="93" applyNumberFormat="1" applyFont="1" applyBorder="1" applyAlignment="1">
      <alignment vertical="center" wrapText="1"/>
    </xf>
    <xf numFmtId="169" fontId="44" fillId="0" borderId="1" xfId="93" applyNumberFormat="1" applyFont="1" applyBorder="1" applyAlignment="1">
      <alignment horizontal="center" vertical="center" wrapText="1"/>
    </xf>
    <xf numFmtId="0" fontId="33" fillId="0" borderId="1" xfId="61" applyFont="1" applyBorder="1" applyAlignment="1">
      <alignment horizontal="center" vertical="center" wrapText="1"/>
    </xf>
    <xf numFmtId="169" fontId="41" fillId="0" borderId="1" xfId="92" applyNumberFormat="1" applyFont="1" applyBorder="1" applyAlignment="1">
      <alignment horizontal="center" vertical="center" wrapText="1"/>
    </xf>
    <xf numFmtId="169" fontId="33" fillId="0" borderId="1" xfId="92" applyNumberFormat="1" applyFont="1" applyBorder="1" applyAlignment="1">
      <alignment horizontal="center" vertical="center" wrapText="1"/>
    </xf>
    <xf numFmtId="169" fontId="44" fillId="0" borderId="1" xfId="92" applyNumberFormat="1" applyFont="1" applyBorder="1" applyAlignment="1">
      <alignment vertical="center" wrapText="1"/>
    </xf>
    <xf numFmtId="0" fontId="45" fillId="0" borderId="0" xfId="61" applyFont="1" applyAlignment="1">
      <alignment horizontal="center"/>
    </xf>
    <xf numFmtId="0" fontId="46" fillId="0" borderId="0" xfId="61" applyFont="1" applyAlignment="1">
      <alignment horizontal="center"/>
    </xf>
    <xf numFmtId="0" fontId="33" fillId="0" borderId="4" xfId="61" applyFont="1" applyBorder="1" applyAlignment="1">
      <alignment horizontal="center" vertical="center" wrapText="1"/>
    </xf>
    <xf numFmtId="0" fontId="33" fillId="0" borderId="6" xfId="61" applyFont="1" applyBorder="1" applyAlignment="1">
      <alignment horizontal="center" vertical="center" wrapText="1"/>
    </xf>
    <xf numFmtId="0" fontId="33" fillId="0" borderId="3" xfId="61" applyFont="1" applyBorder="1" applyAlignment="1">
      <alignment horizontal="center" vertical="center" wrapText="1"/>
    </xf>
    <xf numFmtId="1" fontId="33" fillId="0" borderId="4" xfId="61" applyNumberFormat="1" applyFont="1" applyBorder="1" applyAlignment="1">
      <alignment horizontal="center" vertical="center" wrapText="1"/>
    </xf>
    <xf numFmtId="1" fontId="33" fillId="0" borderId="3" xfId="61" applyNumberFormat="1" applyFont="1" applyBorder="1" applyAlignment="1">
      <alignment horizontal="center" vertical="center" wrapText="1"/>
    </xf>
    <xf numFmtId="169" fontId="33" fillId="0" borderId="4" xfId="92" applyNumberFormat="1" applyFont="1" applyBorder="1" applyAlignment="1">
      <alignment horizontal="center" vertical="center" wrapText="1"/>
    </xf>
    <xf numFmtId="169" fontId="33" fillId="0" borderId="6" xfId="92" applyNumberFormat="1" applyFont="1" applyBorder="1" applyAlignment="1">
      <alignment horizontal="center" vertical="center" wrapText="1"/>
    </xf>
    <xf numFmtId="169" fontId="33" fillId="0" borderId="3" xfId="92" applyNumberFormat="1" applyFont="1" applyBorder="1" applyAlignment="1">
      <alignment horizontal="center" vertical="center" wrapText="1"/>
    </xf>
    <xf numFmtId="10" fontId="33" fillId="0" borderId="4" xfId="92" applyNumberFormat="1" applyFont="1" applyBorder="1" applyAlignment="1">
      <alignment horizontal="center" vertical="center" wrapText="1"/>
    </xf>
    <xf numFmtId="10" fontId="33" fillId="0" borderId="6" xfId="92" applyNumberFormat="1" applyFont="1" applyBorder="1" applyAlignment="1">
      <alignment horizontal="center" vertical="center" wrapText="1"/>
    </xf>
    <xf numFmtId="10" fontId="33" fillId="0" borderId="3" xfId="92" applyNumberFormat="1" applyFont="1" applyBorder="1" applyAlignment="1">
      <alignment horizontal="center" vertical="center" wrapText="1"/>
    </xf>
    <xf numFmtId="0" fontId="41" fillId="34" borderId="0" xfId="61" applyFont="1" applyFill="1" applyAlignment="1">
      <alignment horizontal="center"/>
    </xf>
    <xf numFmtId="3" fontId="47" fillId="34" borderId="0" xfId="0" applyNumberFormat="1" applyFont="1" applyFill="1"/>
    <xf numFmtId="0" fontId="47" fillId="34" borderId="0" xfId="0" applyFont="1" applyFill="1"/>
    <xf numFmtId="0" fontId="41" fillId="34" borderId="0" xfId="61" applyFont="1" applyFill="1" applyAlignment="1">
      <alignment horizontal="center" wrapText="1"/>
    </xf>
    <xf numFmtId="0" fontId="35" fillId="34" borderId="0" xfId="61" applyFont="1" applyFill="1" applyAlignment="1">
      <alignment horizontal="center"/>
    </xf>
    <xf numFmtId="0" fontId="10" fillId="34" borderId="0" xfId="61" applyFont="1" applyFill="1" applyAlignment="1">
      <alignment horizontal="center"/>
    </xf>
    <xf numFmtId="0" fontId="10" fillId="34" borderId="0" xfId="61" applyFont="1" applyFill="1" applyAlignment="1">
      <alignment wrapText="1"/>
    </xf>
    <xf numFmtId="3" fontId="10" fillId="34" borderId="0" xfId="61" applyNumberFormat="1" applyFont="1" applyFill="1" applyAlignment="1">
      <alignment horizontal="center" wrapText="1"/>
    </xf>
    <xf numFmtId="169" fontId="41" fillId="34" borderId="0" xfId="61" applyNumberFormat="1" applyFont="1" applyFill="1" applyAlignment="1">
      <alignment horizontal="center" vertical="center" wrapText="1"/>
    </xf>
    <xf numFmtId="10" fontId="41" fillId="34" borderId="0" xfId="61" applyNumberFormat="1" applyFont="1" applyFill="1" applyAlignment="1">
      <alignment horizontal="center" vertical="center" wrapText="1"/>
    </xf>
    <xf numFmtId="0" fontId="41" fillId="34" borderId="1" xfId="61" applyFont="1" applyFill="1" applyBorder="1" applyAlignment="1">
      <alignment horizontal="center" vertical="center" wrapText="1"/>
    </xf>
    <xf numFmtId="3" fontId="41" fillId="34" borderId="4" xfId="61" applyNumberFormat="1" applyFont="1" applyFill="1" applyBorder="1" applyAlignment="1">
      <alignment horizontal="center" vertical="center" wrapText="1"/>
    </xf>
    <xf numFmtId="169" fontId="41" fillId="34" borderId="1" xfId="61" applyNumberFormat="1" applyFont="1" applyFill="1" applyBorder="1" applyAlignment="1">
      <alignment horizontal="center" vertical="center" wrapText="1"/>
    </xf>
    <xf numFmtId="169" fontId="41" fillId="34" borderId="1" xfId="92" applyNumberFormat="1" applyFont="1" applyFill="1" applyBorder="1" applyAlignment="1">
      <alignment horizontal="center" vertical="center" wrapText="1"/>
    </xf>
    <xf numFmtId="169" fontId="10" fillId="34" borderId="1" xfId="92" applyNumberFormat="1" applyFont="1" applyFill="1" applyBorder="1" applyAlignment="1">
      <alignment vertical="center" wrapText="1"/>
    </xf>
    <xf numFmtId="169" fontId="41" fillId="34" borderId="4" xfId="92" applyNumberFormat="1" applyFont="1" applyFill="1" applyBorder="1" applyAlignment="1">
      <alignment horizontal="center" vertical="center" wrapText="1"/>
    </xf>
    <xf numFmtId="10" fontId="41" fillId="34" borderId="1" xfId="92" applyNumberFormat="1" applyFont="1" applyFill="1" applyBorder="1" applyAlignment="1">
      <alignment horizontal="center" vertical="center" wrapText="1"/>
    </xf>
    <xf numFmtId="3" fontId="41" fillId="34" borderId="6" xfId="61" applyNumberFormat="1" applyFont="1" applyFill="1" applyBorder="1" applyAlignment="1">
      <alignment horizontal="center" vertical="center" wrapText="1"/>
    </xf>
    <xf numFmtId="169" fontId="41" fillId="34" borderId="6" xfId="92" applyNumberFormat="1" applyFont="1" applyFill="1" applyBorder="1" applyAlignment="1">
      <alignment horizontal="center" vertical="center" wrapText="1"/>
    </xf>
    <xf numFmtId="3" fontId="41" fillId="34" borderId="3" xfId="61" applyNumberFormat="1" applyFont="1" applyFill="1" applyBorder="1" applyAlignment="1">
      <alignment horizontal="center" vertical="center" wrapText="1"/>
    </xf>
    <xf numFmtId="169" fontId="41" fillId="34" borderId="1" xfId="92" applyNumberFormat="1" applyFont="1" applyFill="1" applyBorder="1" applyAlignment="1">
      <alignment horizontal="center" vertical="center" wrapText="1"/>
    </xf>
    <xf numFmtId="169" fontId="41" fillId="34" borderId="3" xfId="92" applyNumberFormat="1" applyFont="1" applyFill="1" applyBorder="1" applyAlignment="1">
      <alignment horizontal="center" vertical="center" wrapText="1"/>
    </xf>
    <xf numFmtId="0" fontId="41" fillId="34" borderId="1" xfId="61" applyFont="1" applyFill="1" applyBorder="1" applyAlignment="1">
      <alignment horizontal="center" vertical="center"/>
    </xf>
    <xf numFmtId="0" fontId="41" fillId="34" borderId="1" xfId="61" applyFont="1" applyFill="1" applyBorder="1" applyAlignment="1">
      <alignment horizontal="center" vertical="center" wrapText="1"/>
    </xf>
    <xf numFmtId="3" fontId="41" fillId="34" borderId="1" xfId="61" applyNumberFormat="1" applyFont="1" applyFill="1" applyBorder="1" applyAlignment="1">
      <alignment horizontal="center" vertical="center" wrapText="1"/>
    </xf>
    <xf numFmtId="169" fontId="41" fillId="34" borderId="1" xfId="61" applyNumberFormat="1" applyFont="1" applyFill="1" applyBorder="1" applyAlignment="1">
      <alignment horizontal="center" vertical="center" wrapText="1"/>
    </xf>
    <xf numFmtId="10" fontId="41" fillId="34" borderId="1" xfId="61" applyNumberFormat="1" applyFont="1" applyFill="1" applyBorder="1" applyAlignment="1">
      <alignment horizontal="center" vertical="center" wrapText="1"/>
    </xf>
    <xf numFmtId="0" fontId="41" fillId="34" borderId="1" xfId="61" applyFont="1" applyFill="1" applyBorder="1" applyAlignment="1">
      <alignment vertical="center" wrapText="1"/>
    </xf>
    <xf numFmtId="0" fontId="42" fillId="34" borderId="1" xfId="61" applyFont="1" applyFill="1" applyBorder="1" applyAlignment="1">
      <alignment horizontal="center" vertical="center"/>
    </xf>
    <xf numFmtId="0" fontId="42" fillId="34" borderId="1" xfId="61" applyFont="1" applyFill="1" applyBorder="1" applyAlignment="1">
      <alignment vertical="center" wrapText="1"/>
    </xf>
    <xf numFmtId="3" fontId="42" fillId="34" borderId="1" xfId="61" applyNumberFormat="1" applyFont="1" applyFill="1" applyBorder="1" applyAlignment="1">
      <alignment horizontal="center" vertical="center" wrapText="1"/>
    </xf>
    <xf numFmtId="10" fontId="42" fillId="34" borderId="1" xfId="61" applyNumberFormat="1" applyFont="1" applyFill="1" applyBorder="1" applyAlignment="1">
      <alignment horizontal="center" vertical="center" wrapText="1"/>
    </xf>
    <xf numFmtId="0" fontId="42" fillId="34" borderId="1" xfId="0" applyFont="1" applyFill="1" applyBorder="1" applyAlignment="1">
      <alignment horizontal="left" vertical="center" wrapText="1"/>
    </xf>
    <xf numFmtId="3" fontId="42" fillId="34" borderId="1" xfId="0" applyNumberFormat="1" applyFont="1" applyFill="1" applyBorder="1" applyAlignment="1">
      <alignment horizontal="center" vertical="center" wrapText="1"/>
    </xf>
    <xf numFmtId="169" fontId="42" fillId="34" borderId="1" xfId="0" applyNumberFormat="1" applyFont="1" applyFill="1" applyBorder="1" applyAlignment="1">
      <alignment horizontal="center" vertical="center" wrapText="1"/>
    </xf>
    <xf numFmtId="169" fontId="48" fillId="34" borderId="1" xfId="61" applyNumberFormat="1" applyFont="1" applyFill="1" applyBorder="1" applyAlignment="1">
      <alignment horizontal="center" vertical="center" wrapText="1"/>
    </xf>
    <xf numFmtId="169" fontId="47" fillId="34" borderId="0" xfId="0" applyNumberFormat="1" applyFont="1" applyFill="1"/>
    <xf numFmtId="169" fontId="42" fillId="34" borderId="1" xfId="38" applyNumberFormat="1" applyFont="1" applyFill="1" applyBorder="1" applyAlignment="1">
      <alignment horizontal="center" vertical="center"/>
    </xf>
    <xf numFmtId="169" fontId="42" fillId="34" borderId="1" xfId="92" applyNumberFormat="1" applyFont="1" applyFill="1" applyBorder="1" applyAlignment="1">
      <alignment horizontal="center" vertical="center"/>
    </xf>
    <xf numFmtId="3" fontId="42" fillId="34" borderId="1" xfId="0" applyNumberFormat="1" applyFont="1" applyFill="1" applyBorder="1" applyAlignment="1">
      <alignment horizontal="left" vertical="center" wrapText="1"/>
    </xf>
    <xf numFmtId="1" fontId="41" fillId="34" borderId="1" xfId="95" applyNumberFormat="1" applyFont="1" applyFill="1" applyBorder="1" applyAlignment="1">
      <alignment horizontal="center" vertical="center"/>
    </xf>
    <xf numFmtId="3" fontId="41" fillId="34" borderId="1" xfId="56" applyNumberFormat="1" applyFont="1" applyFill="1" applyBorder="1" applyAlignment="1">
      <alignment horizontal="justify" vertical="center" wrapText="1"/>
    </xf>
    <xf numFmtId="3" fontId="41" fillId="34" borderId="1" xfId="56" applyNumberFormat="1" applyFont="1" applyFill="1" applyBorder="1" applyAlignment="1">
      <alignment horizontal="center" vertical="center" wrapText="1"/>
    </xf>
    <xf numFmtId="169" fontId="41" fillId="34" borderId="1" xfId="55" applyNumberFormat="1" applyFont="1" applyFill="1" applyBorder="1" applyAlignment="1">
      <alignment horizontal="center" vertical="center" wrapText="1"/>
    </xf>
    <xf numFmtId="1" fontId="42" fillId="34" borderId="1" xfId="95" applyNumberFormat="1" applyFont="1" applyFill="1" applyBorder="1" applyAlignment="1">
      <alignment horizontal="center" vertical="center"/>
    </xf>
    <xf numFmtId="3" fontId="49" fillId="34" borderId="1" xfId="0" applyNumberFormat="1" applyFont="1" applyFill="1" applyBorder="1" applyAlignment="1">
      <alignment horizontal="left" vertical="center" wrapText="1"/>
    </xf>
    <xf numFmtId="3" fontId="49" fillId="34" borderId="1" xfId="0" applyNumberFormat="1" applyFont="1" applyFill="1" applyBorder="1" applyAlignment="1">
      <alignment horizontal="center" vertical="center" wrapText="1"/>
    </xf>
    <xf numFmtId="169" fontId="49" fillId="34" borderId="1" xfId="0" applyNumberFormat="1" applyFont="1" applyFill="1" applyBorder="1" applyAlignment="1">
      <alignment horizontal="center" vertical="center" wrapText="1"/>
    </xf>
    <xf numFmtId="169" fontId="50" fillId="34" borderId="1" xfId="58" applyNumberFormat="1" applyFont="1" applyFill="1" applyBorder="1" applyAlignment="1">
      <alignment horizontal="center" vertical="center"/>
    </xf>
    <xf numFmtId="169" fontId="49" fillId="34" borderId="1" xfId="58" applyNumberFormat="1" applyFont="1" applyFill="1" applyBorder="1" applyAlignment="1">
      <alignment horizontal="center" vertical="center"/>
    </xf>
    <xf numFmtId="0" fontId="50" fillId="34" borderId="1" xfId="58" applyFont="1" applyFill="1" applyBorder="1" applyAlignment="1">
      <alignment horizontal="center" vertical="center"/>
    </xf>
    <xf numFmtId="0" fontId="41" fillId="34" borderId="1" xfId="62" applyFont="1" applyFill="1" applyBorder="1"/>
    <xf numFmtId="3" fontId="41" fillId="34" borderId="1" xfId="62" applyNumberFormat="1" applyFont="1" applyFill="1" applyBorder="1" applyAlignment="1">
      <alignment horizontal="center"/>
    </xf>
    <xf numFmtId="0" fontId="49" fillId="34" borderId="1" xfId="58" applyFont="1" applyFill="1" applyBorder="1" applyAlignment="1">
      <alignment horizontal="center" vertical="center"/>
    </xf>
    <xf numFmtId="0" fontId="49" fillId="34" borderId="1" xfId="0" applyFont="1" applyFill="1" applyBorder="1" applyAlignment="1">
      <alignment horizontal="left" vertical="center" wrapText="1"/>
    </xf>
    <xf numFmtId="169" fontId="50" fillId="34" borderId="1" xfId="58" applyNumberFormat="1" applyFont="1" applyFill="1" applyBorder="1" applyAlignment="1">
      <alignment horizontal="center" vertical="center" wrapText="1"/>
    </xf>
    <xf numFmtId="169" fontId="49" fillId="34" borderId="1" xfId="58" applyNumberFormat="1" applyFont="1" applyFill="1" applyBorder="1" applyAlignment="1">
      <alignment horizontal="center" vertical="center" wrapText="1"/>
    </xf>
    <xf numFmtId="169" fontId="51" fillId="34" borderId="1" xfId="83" applyNumberFormat="1" applyFont="1" applyFill="1" applyBorder="1" applyAlignment="1">
      <alignment horizontal="center" vertical="center" shrinkToFit="1"/>
    </xf>
    <xf numFmtId="169" fontId="52" fillId="34" borderId="1" xfId="83" applyNumberFormat="1" applyFont="1" applyFill="1" applyBorder="1" applyAlignment="1">
      <alignment horizontal="center" vertical="center" shrinkToFit="1"/>
    </xf>
    <xf numFmtId="0" fontId="50" fillId="34" borderId="1" xfId="58" applyFont="1" applyFill="1" applyBorder="1" applyAlignment="1">
      <alignment horizontal="center" vertical="center" wrapText="1"/>
    </xf>
    <xf numFmtId="0" fontId="50" fillId="34" borderId="1" xfId="58" applyFont="1" applyFill="1" applyBorder="1" applyAlignment="1">
      <alignment vertical="center" wrapText="1"/>
    </xf>
    <xf numFmtId="3" fontId="50" fillId="34" borderId="1" xfId="58" applyNumberFormat="1" applyFont="1" applyFill="1" applyBorder="1" applyAlignment="1">
      <alignment horizontal="center" vertical="center" wrapText="1"/>
    </xf>
    <xf numFmtId="169" fontId="51" fillId="34" borderId="1" xfId="58" applyNumberFormat="1" applyFont="1" applyFill="1" applyBorder="1" applyAlignment="1">
      <alignment horizontal="center" vertical="center" shrinkToFit="1"/>
    </xf>
    <xf numFmtId="0" fontId="41" fillId="34" borderId="1" xfId="0" applyFont="1" applyFill="1" applyBorder="1" applyAlignment="1">
      <alignment horizontal="center" vertical="center" wrapText="1"/>
    </xf>
    <xf numFmtId="0" fontId="41" fillId="34" borderId="1" xfId="0" applyFont="1" applyFill="1" applyBorder="1" applyAlignment="1">
      <alignment vertical="center" wrapText="1"/>
    </xf>
    <xf numFmtId="3" fontId="41" fillId="34" borderId="1" xfId="0" applyNumberFormat="1" applyFont="1" applyFill="1" applyBorder="1" applyAlignment="1">
      <alignment horizontal="center" vertical="center" wrapText="1"/>
    </xf>
    <xf numFmtId="169" fontId="41" fillId="34" borderId="1" xfId="0" applyNumberFormat="1" applyFont="1" applyFill="1" applyBorder="1" applyAlignment="1">
      <alignment horizontal="center" vertical="center" wrapText="1"/>
    </xf>
    <xf numFmtId="0" fontId="42" fillId="34" borderId="1" xfId="0" applyFont="1" applyFill="1" applyBorder="1" applyAlignment="1">
      <alignment horizontal="center" vertical="center" wrapText="1"/>
    </xf>
    <xf numFmtId="0" fontId="42" fillId="34" borderId="1" xfId="0" applyFont="1" applyFill="1" applyBorder="1" applyAlignment="1">
      <alignment vertical="center" wrapText="1"/>
    </xf>
    <xf numFmtId="10" fontId="42" fillId="34" borderId="1" xfId="61" applyNumberFormat="1" applyFont="1" applyFill="1" applyBorder="1" applyAlignment="1">
      <alignment horizontal="center" vertical="center" shrinkToFit="1"/>
    </xf>
    <xf numFmtId="0" fontId="48" fillId="34" borderId="1" xfId="61" applyFont="1" applyFill="1" applyBorder="1" applyAlignment="1">
      <alignment horizontal="center" vertical="center" wrapText="1"/>
    </xf>
    <xf numFmtId="10" fontId="42" fillId="34" borderId="1" xfId="61" applyNumberFormat="1" applyFont="1" applyFill="1" applyBorder="1" applyAlignment="1">
      <alignment horizontal="center" vertical="center"/>
    </xf>
    <xf numFmtId="169" fontId="41" fillId="34" borderId="1" xfId="31" applyNumberFormat="1" applyFont="1" applyFill="1" applyBorder="1" applyAlignment="1">
      <alignment horizontal="center" vertical="center"/>
    </xf>
    <xf numFmtId="0" fontId="42" fillId="34" borderId="1" xfId="61" applyFont="1" applyFill="1" applyBorder="1" applyAlignment="1">
      <alignment horizontal="center" vertical="center" wrapText="1"/>
    </xf>
    <xf numFmtId="3" fontId="41" fillId="34" borderId="1" xfId="61" applyNumberFormat="1" applyFont="1" applyFill="1" applyBorder="1" applyAlignment="1">
      <alignment horizontal="center" vertical="center"/>
    </xf>
    <xf numFmtId="169" fontId="41" fillId="34" borderId="1" xfId="61" applyNumberFormat="1" applyFont="1" applyFill="1" applyBorder="1" applyAlignment="1">
      <alignment horizontal="center" vertical="center"/>
    </xf>
    <xf numFmtId="169" fontId="42" fillId="34" borderId="1" xfId="61" applyNumberFormat="1" applyFont="1" applyFill="1" applyBorder="1" applyAlignment="1">
      <alignment horizontal="center" vertical="center"/>
    </xf>
    <xf numFmtId="169" fontId="42" fillId="34" borderId="1" xfId="31" applyNumberFormat="1" applyFont="1" applyFill="1" applyBorder="1" applyAlignment="1">
      <alignment horizontal="center" vertical="center"/>
    </xf>
    <xf numFmtId="0" fontId="41" fillId="34" borderId="1" xfId="61" applyFont="1" applyFill="1" applyBorder="1" applyAlignment="1">
      <alignment vertical="center"/>
    </xf>
    <xf numFmtId="10" fontId="41" fillId="34" borderId="1" xfId="31" applyNumberFormat="1" applyFont="1" applyFill="1" applyBorder="1" applyAlignment="1">
      <alignment horizontal="center" vertical="center"/>
    </xf>
    <xf numFmtId="10" fontId="48" fillId="34" borderId="1" xfId="61" applyNumberFormat="1" applyFont="1" applyFill="1" applyBorder="1" applyAlignment="1">
      <alignment horizontal="center" vertical="center" wrapText="1"/>
    </xf>
    <xf numFmtId="3" fontId="48" fillId="34" borderId="1" xfId="61" applyNumberFormat="1" applyFont="1" applyFill="1" applyBorder="1" applyAlignment="1">
      <alignment horizontal="center" vertical="center" wrapText="1"/>
    </xf>
    <xf numFmtId="169" fontId="48" fillId="34" borderId="1" xfId="31" applyNumberFormat="1" applyFont="1" applyFill="1" applyBorder="1" applyAlignment="1">
      <alignment horizontal="center" vertical="center"/>
    </xf>
    <xf numFmtId="169" fontId="48" fillId="34" borderId="1" xfId="61" applyNumberFormat="1" applyFont="1" applyFill="1" applyBorder="1" applyAlignment="1">
      <alignment horizontal="center" vertical="center"/>
    </xf>
    <xf numFmtId="10" fontId="53" fillId="34" borderId="1" xfId="61" applyNumberFormat="1" applyFont="1" applyFill="1" applyBorder="1" applyAlignment="1">
      <alignment horizontal="center" vertical="center" wrapText="1"/>
    </xf>
    <xf numFmtId="169" fontId="54" fillId="34" borderId="1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/>
    </xf>
    <xf numFmtId="0" fontId="47" fillId="34" borderId="0" xfId="0" applyFont="1" applyFill="1" applyAlignment="1">
      <alignment wrapText="1"/>
    </xf>
    <xf numFmtId="3" fontId="47" fillId="34" borderId="0" xfId="0" applyNumberFormat="1" applyFont="1" applyFill="1" applyAlignment="1">
      <alignment horizontal="center" wrapText="1"/>
    </xf>
    <xf numFmtId="169" fontId="47" fillId="34" borderId="0" xfId="0" applyNumberFormat="1" applyFont="1" applyFill="1" applyAlignment="1">
      <alignment horizontal="center"/>
    </xf>
    <xf numFmtId="10" fontId="47" fillId="34" borderId="0" xfId="0" applyNumberFormat="1" applyFont="1" applyFill="1"/>
  </cellXfs>
  <cellStyles count="10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[0] 2" xfId="28"/>
    <cellStyle name="Comma 16 3" xfId="29"/>
    <cellStyle name="Comma 16 3 2" xfId="30"/>
    <cellStyle name="Comma 2" xfId="31"/>
    <cellStyle name="Comma 2 10" xfId="32"/>
    <cellStyle name="Comma 2 2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20" xfId="41"/>
    <cellStyle name="Comma 3" xfId="42"/>
    <cellStyle name="Comma 3 2" xfId="43"/>
    <cellStyle name="Comma 4 2" xfId="44"/>
    <cellStyle name="Comma 5 2" xfId="45"/>
    <cellStyle name="Explanatory Text 2" xfId="46"/>
    <cellStyle name="Good 2" xfId="47"/>
    <cellStyle name="Heading 1 2" xfId="48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11" xfId="55"/>
    <cellStyle name="Normal 12" xfId="56"/>
    <cellStyle name="Normal 13" xfId="57"/>
    <cellStyle name="Normal 13 2" xfId="58"/>
    <cellStyle name="Normal 18" xfId="59"/>
    <cellStyle name="Normal 19" xfId="60"/>
    <cellStyle name="Normal 2" xfId="61"/>
    <cellStyle name="Normal 2 10" xfId="62"/>
    <cellStyle name="Normal 2 11" xfId="63"/>
    <cellStyle name="Normal 2 2" xfId="64"/>
    <cellStyle name="Normal 2 3" xfId="65"/>
    <cellStyle name="Normal 2 4" xfId="66"/>
    <cellStyle name="Normal 2 4 2" xfId="67"/>
    <cellStyle name="Normal 2 5" xfId="68"/>
    <cellStyle name="Normal 2 6" xfId="69"/>
    <cellStyle name="Normal 2 7" xfId="70"/>
    <cellStyle name="Normal 2 8" xfId="71"/>
    <cellStyle name="Normal 2 9" xfId="72"/>
    <cellStyle name="Normal 3" xfId="73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81"/>
    <cellStyle name="Normal 4" xfId="82"/>
    <cellStyle name="Normal 4 2" xfId="83"/>
    <cellStyle name="Normal 4 3" xfId="84"/>
    <cellStyle name="Normal 4 4" xfId="85"/>
    <cellStyle name="Normal 4 5" xfId="86"/>
    <cellStyle name="Normal 4 6" xfId="87"/>
    <cellStyle name="Normal 4 7" xfId="88"/>
    <cellStyle name="Normal 4 8" xfId="89"/>
    <cellStyle name="Normal 4 9" xfId="90"/>
    <cellStyle name="Normal 5" xfId="91"/>
    <cellStyle name="Normal 7" xfId="92"/>
    <cellStyle name="Normal 8" xfId="93"/>
    <cellStyle name="Normal 8 2" xfId="94"/>
    <cellStyle name="Normal_Bieu mau (CV )" xfId="95"/>
    <cellStyle name="Note 2" xfId="96"/>
    <cellStyle name="Output 2" xfId="97"/>
    <cellStyle name="Style 1" xfId="98"/>
    <cellStyle name="Style 1 4" xfId="99"/>
    <cellStyle name="Title 2" xfId="100"/>
    <cellStyle name="Total 2" xfId="101"/>
    <cellStyle name="Warning Text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28575</xdr:rowOff>
    </xdr:to>
    <xdr:sp macro="" textlink="">
      <xdr:nvSpPr>
        <xdr:cNvPr id="1607368" name="AutoShape 1" descr="blob:file:///cf7ae82e-a557-436e-9e8a-2799538085eb">
          <a:extLst>
            <a:ext uri="{FF2B5EF4-FFF2-40B4-BE49-F238E27FC236}">
              <a16:creationId xmlns:a16="http://schemas.microsoft.com/office/drawing/2014/main" xmlns="" id="{2F375A8F-37F0-3E4B-AFEA-EB62C9CAB1D7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28575</xdr:rowOff>
    </xdr:to>
    <xdr:sp macro="" textlink="">
      <xdr:nvSpPr>
        <xdr:cNvPr id="1607369" name="AutoShape 2" descr="blob:file:///cf7ae82e-a557-436e-9e8a-2799538085eb">
          <a:extLst>
            <a:ext uri="{FF2B5EF4-FFF2-40B4-BE49-F238E27FC236}">
              <a16:creationId xmlns:a16="http://schemas.microsoft.com/office/drawing/2014/main" xmlns="" id="{2CC03944-6771-A6D0-2826-D2A59F78E06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28575</xdr:rowOff>
    </xdr:to>
    <xdr:sp macro="" textlink="">
      <xdr:nvSpPr>
        <xdr:cNvPr id="1607370" name="AutoShape 1" descr="blob:file:///cf7ae82e-a557-436e-9e8a-2799538085eb">
          <a:extLst>
            <a:ext uri="{FF2B5EF4-FFF2-40B4-BE49-F238E27FC236}">
              <a16:creationId xmlns:a16="http://schemas.microsoft.com/office/drawing/2014/main" xmlns="" id="{C14EF9F2-ECC2-9ACD-8BB7-95E3BD7E48C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161925</xdr:rowOff>
    </xdr:to>
    <xdr:sp macro="" textlink="">
      <xdr:nvSpPr>
        <xdr:cNvPr id="1607371" name="AutoShape 1" descr="blob:file:///cf7ae82e-a557-436e-9e8a-2799538085eb">
          <a:extLst>
            <a:ext uri="{FF2B5EF4-FFF2-40B4-BE49-F238E27FC236}">
              <a16:creationId xmlns:a16="http://schemas.microsoft.com/office/drawing/2014/main" xmlns="" id="{B4CD4B2C-FA91-D884-690A-A59404C95E3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161925</xdr:rowOff>
    </xdr:to>
    <xdr:sp macro="" textlink="">
      <xdr:nvSpPr>
        <xdr:cNvPr id="1607372" name="AutoShape 2" descr="blob:file:///cf7ae82e-a557-436e-9e8a-2799538085eb">
          <a:extLst>
            <a:ext uri="{FF2B5EF4-FFF2-40B4-BE49-F238E27FC236}">
              <a16:creationId xmlns:a16="http://schemas.microsoft.com/office/drawing/2014/main" xmlns="" id="{B7919A80-458B-38D3-4166-628470C9D43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304800</xdr:colOff>
      <xdr:row>46</xdr:row>
      <xdr:rowOff>161925</xdr:rowOff>
    </xdr:to>
    <xdr:sp macro="" textlink="">
      <xdr:nvSpPr>
        <xdr:cNvPr id="1607373" name="AutoShape 1" descr="blob:file:///cf7ae82e-a557-436e-9e8a-2799538085eb">
          <a:extLst>
            <a:ext uri="{FF2B5EF4-FFF2-40B4-BE49-F238E27FC236}">
              <a16:creationId xmlns:a16="http://schemas.microsoft.com/office/drawing/2014/main" xmlns="" id="{E2F23C9B-1D51-D10E-494A-0BFD456EFAD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842135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28575</xdr:rowOff>
    </xdr:to>
    <xdr:sp macro="" textlink="">
      <xdr:nvSpPr>
        <xdr:cNvPr id="1607374" name="AutoShape 1" descr="blob:file:///cf7ae82e-a557-436e-9e8a-2799538085eb">
          <a:extLst>
            <a:ext uri="{FF2B5EF4-FFF2-40B4-BE49-F238E27FC236}">
              <a16:creationId xmlns:a16="http://schemas.microsoft.com/office/drawing/2014/main" xmlns="" id="{E8D39E89-137A-1C85-F552-C0DD5D47E136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28575</xdr:rowOff>
    </xdr:to>
    <xdr:sp macro="" textlink="">
      <xdr:nvSpPr>
        <xdr:cNvPr id="1607375" name="AutoShape 2" descr="blob:file:///cf7ae82e-a557-436e-9e8a-2799538085eb">
          <a:extLst>
            <a:ext uri="{FF2B5EF4-FFF2-40B4-BE49-F238E27FC236}">
              <a16:creationId xmlns:a16="http://schemas.microsoft.com/office/drawing/2014/main" xmlns="" id="{ABFA5835-E723-E3AE-2DB5-97B004AFDB8E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28575</xdr:rowOff>
    </xdr:to>
    <xdr:sp macro="" textlink="">
      <xdr:nvSpPr>
        <xdr:cNvPr id="1607376" name="AutoShape 1" descr="blob:file:///cf7ae82e-a557-436e-9e8a-2799538085eb">
          <a:extLst>
            <a:ext uri="{FF2B5EF4-FFF2-40B4-BE49-F238E27FC236}">
              <a16:creationId xmlns:a16="http://schemas.microsoft.com/office/drawing/2014/main" xmlns="" id="{7844D2A3-2769-C45C-AE39-0359D8EEFCF9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161925</xdr:rowOff>
    </xdr:to>
    <xdr:sp macro="" textlink="">
      <xdr:nvSpPr>
        <xdr:cNvPr id="1607377" name="AutoShape 1" descr="blob:file:///cf7ae82e-a557-436e-9e8a-2799538085eb">
          <a:extLst>
            <a:ext uri="{FF2B5EF4-FFF2-40B4-BE49-F238E27FC236}">
              <a16:creationId xmlns:a16="http://schemas.microsoft.com/office/drawing/2014/main" xmlns="" id="{0C175DCF-4587-09FA-D215-CE100346CD82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161925</xdr:rowOff>
    </xdr:to>
    <xdr:sp macro="" textlink="">
      <xdr:nvSpPr>
        <xdr:cNvPr id="1607378" name="AutoShape 2" descr="blob:file:///cf7ae82e-a557-436e-9e8a-2799538085eb">
          <a:extLst>
            <a:ext uri="{FF2B5EF4-FFF2-40B4-BE49-F238E27FC236}">
              <a16:creationId xmlns:a16="http://schemas.microsoft.com/office/drawing/2014/main" xmlns="" id="{72801203-9DD5-EEDA-A938-B19D0BA653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33</xdr:row>
      <xdr:rowOff>161925</xdr:rowOff>
    </xdr:to>
    <xdr:sp macro="" textlink="">
      <xdr:nvSpPr>
        <xdr:cNvPr id="1607379" name="AutoShape 1" descr="blob:file:///cf7ae82e-a557-436e-9e8a-2799538085eb">
          <a:extLst>
            <a:ext uri="{FF2B5EF4-FFF2-40B4-BE49-F238E27FC236}">
              <a16:creationId xmlns:a16="http://schemas.microsoft.com/office/drawing/2014/main" xmlns="" id="{628EDAD2-E369-464B-9ABA-E3B9D95B3FCB}"/>
            </a:ext>
          </a:extLst>
        </xdr:cNvPr>
        <xdr:cNvSpPr>
          <a:spLocks noChangeAspect="1" noChangeArrowheads="1"/>
        </xdr:cNvSpPr>
      </xdr:nvSpPr>
      <xdr:spPr bwMode="auto">
        <a:xfrm>
          <a:off x="485775" y="146208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21"/>
  <sheetViews>
    <sheetView zoomScale="85" zoomScaleNormal="85" workbookViewId="0">
      <selection activeCell="N1" sqref="N1"/>
    </sheetView>
  </sheetViews>
  <sheetFormatPr defaultRowHeight="15"/>
  <cols>
    <col min="1" max="1" width="7.7109375" customWidth="1"/>
    <col min="2" max="2" width="33.28515625" customWidth="1"/>
    <col min="3" max="3" width="15.5703125" customWidth="1"/>
    <col min="4" max="4" width="13.42578125" customWidth="1"/>
    <col min="5" max="6" width="13.5703125" customWidth="1"/>
    <col min="7" max="7" width="10.85546875" customWidth="1"/>
    <col min="8" max="8" width="14.42578125" customWidth="1"/>
    <col min="9" max="9" width="10.28515625" customWidth="1"/>
    <col min="10" max="10" width="15" customWidth="1"/>
    <col min="11" max="11" width="10.28515625" customWidth="1"/>
    <col min="12" max="12" width="15" customWidth="1"/>
    <col min="13" max="13" width="11.5703125" customWidth="1"/>
    <col min="14" max="14" width="5.7109375" customWidth="1"/>
    <col min="16" max="16" width="9.140625" bestFit="1" customWidth="1"/>
  </cols>
  <sheetData>
    <row r="2" spans="1:16" ht="16.899999999999999" customHeight="1">
      <c r="A2" s="98" t="s">
        <v>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6" ht="18.75">
      <c r="A3" s="94" t="s">
        <v>97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6">
      <c r="A4" s="1"/>
      <c r="B4" s="1"/>
      <c r="C4" s="1"/>
      <c r="D4" s="2"/>
      <c r="E4" s="2"/>
      <c r="F4" s="3"/>
      <c r="G4" s="4"/>
      <c r="H4" s="99"/>
      <c r="I4" s="99"/>
      <c r="J4" s="99"/>
      <c r="K4" s="99"/>
      <c r="L4" s="99"/>
      <c r="M4" s="99"/>
      <c r="N4" s="99"/>
    </row>
    <row r="5" spans="1:16" ht="15.75" customHeight="1">
      <c r="A5" s="100" t="s">
        <v>1</v>
      </c>
      <c r="B5" s="100" t="s">
        <v>2</v>
      </c>
      <c r="C5" s="95" t="s">
        <v>88</v>
      </c>
      <c r="D5" s="100" t="s">
        <v>96</v>
      </c>
      <c r="E5" s="101"/>
      <c r="F5" s="101"/>
      <c r="G5" s="100" t="s">
        <v>33</v>
      </c>
      <c r="H5" s="95" t="s">
        <v>90</v>
      </c>
      <c r="I5" s="95" t="s">
        <v>33</v>
      </c>
      <c r="J5" s="95" t="s">
        <v>99</v>
      </c>
      <c r="K5" s="95" t="s">
        <v>33</v>
      </c>
      <c r="L5" s="95" t="s">
        <v>98</v>
      </c>
      <c r="M5" s="95" t="s">
        <v>33</v>
      </c>
      <c r="N5" s="100" t="s">
        <v>4</v>
      </c>
    </row>
    <row r="6" spans="1:16" ht="15.75" customHeight="1">
      <c r="A6" s="101"/>
      <c r="B6" s="101"/>
      <c r="C6" s="96"/>
      <c r="D6" s="101"/>
      <c r="E6" s="101"/>
      <c r="F6" s="101"/>
      <c r="G6" s="102"/>
      <c r="H6" s="96"/>
      <c r="I6" s="96"/>
      <c r="J6" s="96"/>
      <c r="K6" s="96"/>
      <c r="L6" s="96"/>
      <c r="M6" s="96"/>
      <c r="N6" s="100"/>
    </row>
    <row r="7" spans="1:16" ht="19.899999999999999" customHeight="1">
      <c r="A7" s="101"/>
      <c r="B7" s="101"/>
      <c r="C7" s="96"/>
      <c r="D7" s="100" t="s">
        <v>5</v>
      </c>
      <c r="E7" s="100" t="s">
        <v>30</v>
      </c>
      <c r="F7" s="100"/>
      <c r="G7" s="102"/>
      <c r="H7" s="96"/>
      <c r="I7" s="96"/>
      <c r="J7" s="96"/>
      <c r="K7" s="96"/>
      <c r="L7" s="96"/>
      <c r="M7" s="96"/>
      <c r="N7" s="100"/>
    </row>
    <row r="8" spans="1:16" ht="57.6" customHeight="1">
      <c r="A8" s="101"/>
      <c r="B8" s="101"/>
      <c r="C8" s="97"/>
      <c r="D8" s="101"/>
      <c r="E8" s="9" t="s">
        <v>31</v>
      </c>
      <c r="F8" s="9" t="s">
        <v>32</v>
      </c>
      <c r="G8" s="102"/>
      <c r="H8" s="97"/>
      <c r="I8" s="97"/>
      <c r="J8" s="97"/>
      <c r="K8" s="97"/>
      <c r="L8" s="97"/>
      <c r="M8" s="97"/>
      <c r="N8" s="100"/>
    </row>
    <row r="9" spans="1:16" ht="16.5">
      <c r="A9" s="7"/>
      <c r="B9" s="5" t="s">
        <v>35</v>
      </c>
      <c r="C9" s="88">
        <f>'CHI TIET'!D8</f>
        <v>769629</v>
      </c>
      <c r="D9" s="88">
        <f>'CHI TIET'!E8</f>
        <v>73104.540000000008</v>
      </c>
      <c r="E9" s="5">
        <f>'CHI TIET'!F8</f>
        <v>21144.832999999999</v>
      </c>
      <c r="F9" s="5">
        <f>'CHI TIET'!G8</f>
        <v>51959.707000000002</v>
      </c>
      <c r="G9" s="6">
        <f>D9/C9</f>
        <v>9.4986727371239921E-2</v>
      </c>
      <c r="H9" s="5">
        <f>'CHI TIET'!I8</f>
        <v>149422.698</v>
      </c>
      <c r="I9" s="6">
        <f>H9/C9</f>
        <v>0.19414899646453032</v>
      </c>
      <c r="J9" s="5">
        <f>'CHI TIET'!K8</f>
        <v>259096.60399999999</v>
      </c>
      <c r="K9" s="6">
        <f t="shared" ref="K9:K17" si="0">J9/C9</f>
        <v>0.33665130082156469</v>
      </c>
      <c r="L9" s="5">
        <f>'CHI TIET'!M8</f>
        <v>408519.30200000003</v>
      </c>
      <c r="M9" s="6">
        <f>L9/C9</f>
        <v>0.53080029728609501</v>
      </c>
      <c r="N9" s="5"/>
      <c r="P9" s="14"/>
    </row>
    <row r="10" spans="1:16" ht="22.9" customHeight="1">
      <c r="A10" s="5" t="s">
        <v>7</v>
      </c>
      <c r="B10" s="10" t="s">
        <v>36</v>
      </c>
      <c r="C10" s="5">
        <f>SUM(C11:C14)</f>
        <v>471629</v>
      </c>
      <c r="D10" s="5">
        <f>SUM(D11:D14)</f>
        <v>63104.54</v>
      </c>
      <c r="E10" s="5">
        <f>SUM(E11:E14)</f>
        <v>11144.832999999999</v>
      </c>
      <c r="F10" s="5">
        <f>SUM(F11:F14)</f>
        <v>51959.707000000002</v>
      </c>
      <c r="G10" s="6">
        <f t="shared" ref="G10:G17" si="1">D10/C10</f>
        <v>0.13380122935612526</v>
      </c>
      <c r="H10" s="5">
        <f>SUM(H11:H14)</f>
        <v>108413</v>
      </c>
      <c r="I10" s="6">
        <f t="shared" ref="I10:I17" si="2">H10/C10</f>
        <v>0.22986924044110943</v>
      </c>
      <c r="J10" s="5">
        <f>SUM(J11:J14)</f>
        <v>132616</v>
      </c>
      <c r="K10" s="6">
        <f t="shared" si="0"/>
        <v>0.28118711953675452</v>
      </c>
      <c r="L10" s="5">
        <f>SUM(L11:L14)</f>
        <v>241029</v>
      </c>
      <c r="M10" s="6">
        <f t="shared" ref="M10:M17" si="3">L10/C10</f>
        <v>0.51105635997786392</v>
      </c>
      <c r="N10" s="5"/>
    </row>
    <row r="11" spans="1:16" s="86" customFormat="1" ht="33">
      <c r="A11" s="7" t="s">
        <v>9</v>
      </c>
      <c r="B11" s="11" t="s">
        <v>91</v>
      </c>
      <c r="C11" s="7">
        <f>'CHI TIET'!D10</f>
        <v>5116</v>
      </c>
      <c r="D11" s="7">
        <f>'CHI TIET'!E10</f>
        <v>0</v>
      </c>
      <c r="E11" s="7">
        <f>'CHI TIET'!F10</f>
        <v>0</v>
      </c>
      <c r="F11" s="7">
        <f>'CHI TIET'!G10</f>
        <v>0</v>
      </c>
      <c r="G11" s="8">
        <f>D11/C11</f>
        <v>0</v>
      </c>
      <c r="H11" s="7">
        <f>'CHI TIET'!I10</f>
        <v>0</v>
      </c>
      <c r="I11" s="8">
        <f t="shared" si="2"/>
        <v>0</v>
      </c>
      <c r="J11" s="7">
        <f>'CHI TIET'!K10</f>
        <v>5116</v>
      </c>
      <c r="K11" s="8">
        <f t="shared" si="0"/>
        <v>1</v>
      </c>
      <c r="L11" s="7">
        <f>'CHI TIET'!M10</f>
        <v>5116</v>
      </c>
      <c r="M11" s="8">
        <f t="shared" si="3"/>
        <v>1</v>
      </c>
      <c r="N11" s="7"/>
    </row>
    <row r="12" spans="1:16" s="86" customFormat="1" ht="16.5">
      <c r="A12" s="7" t="s">
        <v>13</v>
      </c>
      <c r="B12" s="11" t="s">
        <v>37</v>
      </c>
      <c r="C12" s="7">
        <f>'CHI TIET'!D13</f>
        <v>187513</v>
      </c>
      <c r="D12" s="7">
        <f>'CHI TIET'!E13</f>
        <v>60299.307000000001</v>
      </c>
      <c r="E12" s="7">
        <f>'CHI TIET'!F13</f>
        <v>8443.8809999999994</v>
      </c>
      <c r="F12" s="7">
        <f>'CHI TIET'!G13</f>
        <v>51855.425999999999</v>
      </c>
      <c r="G12" s="8">
        <f>D12/C12</f>
        <v>0.32157400820209797</v>
      </c>
      <c r="H12" s="7">
        <f>'CHI TIET'!I13</f>
        <v>62200</v>
      </c>
      <c r="I12" s="8">
        <f t="shared" si="2"/>
        <v>0.33171033475012401</v>
      </c>
      <c r="J12" s="7">
        <f>'CHI TIET'!K13</f>
        <v>69000</v>
      </c>
      <c r="K12" s="8">
        <f t="shared" si="0"/>
        <v>0.36797448710222758</v>
      </c>
      <c r="L12" s="7">
        <f>'CHI TIET'!M13</f>
        <v>131200</v>
      </c>
      <c r="M12" s="8">
        <f t="shared" si="3"/>
        <v>0.69968482185235159</v>
      </c>
      <c r="N12" s="7"/>
    </row>
    <row r="13" spans="1:16" s="86" customFormat="1" ht="33">
      <c r="A13" s="7" t="s">
        <v>52</v>
      </c>
      <c r="B13" s="11" t="s">
        <v>38</v>
      </c>
      <c r="C13" s="7">
        <f>'CHI TIET'!D20</f>
        <v>20000</v>
      </c>
      <c r="D13" s="7">
        <f>'CHI TIET'!E20</f>
        <v>0</v>
      </c>
      <c r="E13" s="7">
        <f>'CHI TIET'!F20</f>
        <v>0</v>
      </c>
      <c r="F13" s="7">
        <f>'CHI TIET'!G20</f>
        <v>0</v>
      </c>
      <c r="G13" s="8">
        <f t="shared" si="1"/>
        <v>0</v>
      </c>
      <c r="H13" s="7">
        <f>'CHI TIET'!I20</f>
        <v>4500</v>
      </c>
      <c r="I13" s="8">
        <f t="shared" si="2"/>
        <v>0.22500000000000001</v>
      </c>
      <c r="J13" s="7">
        <f>'CHI TIET'!K20</f>
        <v>11500</v>
      </c>
      <c r="K13" s="8">
        <f t="shared" si="0"/>
        <v>0.57499999999999996</v>
      </c>
      <c r="L13" s="7">
        <f>'CHI TIET'!M20</f>
        <v>16000</v>
      </c>
      <c r="M13" s="8">
        <f t="shared" si="3"/>
        <v>0.8</v>
      </c>
      <c r="N13" s="7"/>
    </row>
    <row r="14" spans="1:16" s="86" customFormat="1" ht="16.5">
      <c r="A14" s="7" t="s">
        <v>94</v>
      </c>
      <c r="B14" s="11" t="str">
        <f>'CHI TIET'!B24</f>
        <v xml:space="preserve">Vốn Tiền sử dụng đất Tỉnh </v>
      </c>
      <c r="C14" s="7">
        <f>'CHI TIET'!D24</f>
        <v>259000</v>
      </c>
      <c r="D14" s="7">
        <f>'CHI TIET'!E24</f>
        <v>2805.2330000000002</v>
      </c>
      <c r="E14" s="7">
        <f>'CHI TIET'!F24</f>
        <v>2700.9520000000002</v>
      </c>
      <c r="F14" s="7">
        <f>'CHI TIET'!G24</f>
        <v>104.28099999999999</v>
      </c>
      <c r="G14" s="8">
        <f t="shared" si="1"/>
        <v>1.0831015444015445E-2</v>
      </c>
      <c r="H14" s="7">
        <f>'CHI TIET'!I24</f>
        <v>41713</v>
      </c>
      <c r="I14" s="8">
        <f t="shared" si="2"/>
        <v>0.16105405405405404</v>
      </c>
      <c r="J14" s="7">
        <f>'CHI TIET'!K24</f>
        <v>47000</v>
      </c>
      <c r="K14" s="8">
        <f t="shared" si="0"/>
        <v>0.18146718146718147</v>
      </c>
      <c r="L14" s="7">
        <f>'CHI TIET'!M24</f>
        <v>88713</v>
      </c>
      <c r="M14" s="8">
        <f t="shared" si="3"/>
        <v>0.34252123552123553</v>
      </c>
      <c r="N14" s="7"/>
    </row>
    <row r="15" spans="1:16" ht="16.5">
      <c r="A15" s="5" t="s">
        <v>15</v>
      </c>
      <c r="B15" s="10" t="s">
        <v>39</v>
      </c>
      <c r="C15" s="5">
        <f>C16+C17</f>
        <v>298000</v>
      </c>
      <c r="D15" s="5">
        <f>D16+D17</f>
        <v>10000</v>
      </c>
      <c r="E15" s="5">
        <f>E16+E17</f>
        <v>10000</v>
      </c>
      <c r="F15" s="5">
        <f>F16+F17</f>
        <v>0</v>
      </c>
      <c r="G15" s="6">
        <f t="shared" si="1"/>
        <v>3.3557046979865772E-2</v>
      </c>
      <c r="H15" s="5">
        <f>H16+H17</f>
        <v>41009.698000000004</v>
      </c>
      <c r="I15" s="6">
        <f t="shared" si="2"/>
        <v>0.13761643624161074</v>
      </c>
      <c r="J15" s="5">
        <f>J16+J17</f>
        <v>108880.60399999999</v>
      </c>
      <c r="K15" s="6">
        <f t="shared" si="0"/>
        <v>0.36537115436241607</v>
      </c>
      <c r="L15" s="5">
        <f>L16+L17</f>
        <v>167490.302</v>
      </c>
      <c r="M15" s="6">
        <f t="shared" si="3"/>
        <v>0.56204799328859056</v>
      </c>
      <c r="N15" s="12"/>
    </row>
    <row r="16" spans="1:16" s="86" customFormat="1" ht="16.5">
      <c r="A16" s="7" t="s">
        <v>9</v>
      </c>
      <c r="B16" s="13" t="s">
        <v>40</v>
      </c>
      <c r="C16" s="7">
        <f>'CHI TIET'!D31</f>
        <v>28000</v>
      </c>
      <c r="D16" s="7">
        <f>'CHI TIET'!E31</f>
        <v>0</v>
      </c>
      <c r="E16" s="7">
        <f>'CHI TIET'!F32</f>
        <v>0</v>
      </c>
      <c r="F16" s="7">
        <f>'CHI TIET'!G32</f>
        <v>0</v>
      </c>
      <c r="G16" s="8">
        <f t="shared" si="1"/>
        <v>0</v>
      </c>
      <c r="H16" s="7">
        <f>'CHI TIET'!I31</f>
        <v>0</v>
      </c>
      <c r="I16" s="8">
        <f t="shared" si="2"/>
        <v>0</v>
      </c>
      <c r="J16" s="7">
        <f>'CHI TIET'!K32</f>
        <v>0</v>
      </c>
      <c r="K16" s="8">
        <f t="shared" si="0"/>
        <v>0</v>
      </c>
      <c r="L16" s="7">
        <f>'CHI TIET'!M31</f>
        <v>17600</v>
      </c>
      <c r="M16" s="8">
        <f t="shared" si="3"/>
        <v>0.62857142857142856</v>
      </c>
      <c r="N16" s="12"/>
    </row>
    <row r="17" spans="1:14" s="86" customFormat="1" ht="16.5">
      <c r="A17" s="7" t="s">
        <v>13</v>
      </c>
      <c r="B17" s="13" t="s">
        <v>41</v>
      </c>
      <c r="C17" s="7">
        <f>'CHI TIET'!D40</f>
        <v>270000</v>
      </c>
      <c r="D17" s="7">
        <f>'CHI TIET'!E40</f>
        <v>10000</v>
      </c>
      <c r="E17" s="7">
        <f>'CHI TIET'!F40</f>
        <v>10000</v>
      </c>
      <c r="F17" s="7">
        <f>'CHI TIET'!G40</f>
        <v>0</v>
      </c>
      <c r="G17" s="8">
        <f t="shared" si="1"/>
        <v>3.7037037037037035E-2</v>
      </c>
      <c r="H17" s="7">
        <f>'CHI TIET'!I40</f>
        <v>41009.698000000004</v>
      </c>
      <c r="I17" s="8">
        <f t="shared" si="2"/>
        <v>0.15188777037037038</v>
      </c>
      <c r="J17" s="7">
        <f>'CHI TIET'!K40</f>
        <v>108880.60399999999</v>
      </c>
      <c r="K17" s="8">
        <f t="shared" si="0"/>
        <v>0.40326149629629626</v>
      </c>
      <c r="L17" s="7">
        <f>'CHI TIET'!M40</f>
        <v>149890.302</v>
      </c>
      <c r="M17" s="8">
        <f t="shared" si="3"/>
        <v>0.55514926666666664</v>
      </c>
      <c r="N17" s="12"/>
    </row>
    <row r="21" spans="1:14">
      <c r="L21" s="14"/>
    </row>
  </sheetData>
  <mergeCells count="17">
    <mergeCell ref="I5:I8"/>
    <mergeCell ref="A3:N3"/>
    <mergeCell ref="J5:J8"/>
    <mergeCell ref="K5:K8"/>
    <mergeCell ref="C5:C8"/>
    <mergeCell ref="A2:N2"/>
    <mergeCell ref="H4:N4"/>
    <mergeCell ref="A5:A8"/>
    <mergeCell ref="B5:B8"/>
    <mergeCell ref="D5:F6"/>
    <mergeCell ref="G5:G8"/>
    <mergeCell ref="L5:L8"/>
    <mergeCell ref="M5:M8"/>
    <mergeCell ref="N5:N8"/>
    <mergeCell ref="D7:D8"/>
    <mergeCell ref="E7:F7"/>
    <mergeCell ref="H5:H8"/>
  </mergeCells>
  <printOptions horizontalCentered="1"/>
  <pageMargins left="0" right="0" top="0.5" bottom="0.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S66"/>
  <sheetViews>
    <sheetView tabSelected="1" zoomScale="85" zoomScaleNormal="85" workbookViewId="0">
      <selection activeCell="G12" sqref="G12"/>
    </sheetView>
  </sheetViews>
  <sheetFormatPr defaultColWidth="8.85546875" defaultRowHeight="15"/>
  <cols>
    <col min="1" max="1" width="7.28515625" style="206" customWidth="1"/>
    <col min="2" max="2" width="35.85546875" style="207" customWidth="1"/>
    <col min="3" max="3" width="10.5703125" style="208" hidden="1" customWidth="1"/>
    <col min="4" max="4" width="12.140625" style="209" customWidth="1"/>
    <col min="5" max="5" width="11.140625" style="156" customWidth="1"/>
    <col min="6" max="6" width="9.85546875" style="156" customWidth="1"/>
    <col min="7" max="7" width="11" style="156" customWidth="1"/>
    <col min="8" max="8" width="7.140625" style="156" customWidth="1"/>
    <col min="9" max="9" width="11.7109375" style="156" customWidth="1"/>
    <col min="10" max="10" width="8" style="210" customWidth="1"/>
    <col min="11" max="11" width="11.7109375" style="210" customWidth="1"/>
    <col min="12" max="12" width="8.42578125" style="210" customWidth="1"/>
    <col min="13" max="13" width="11" style="210" customWidth="1"/>
    <col min="14" max="14" width="8.7109375" style="210" customWidth="1"/>
    <col min="15" max="15" width="5.5703125" style="122" customWidth="1"/>
    <col min="16" max="16" width="20.140625" style="121" customWidth="1"/>
    <col min="17" max="17" width="20.5703125" style="122" customWidth="1"/>
    <col min="18" max="18" width="14.140625" style="122" customWidth="1"/>
    <col min="19" max="19" width="10.5703125" style="122" customWidth="1"/>
    <col min="20" max="20" width="9.7109375" style="122" bestFit="1" customWidth="1"/>
    <col min="21" max="16384" width="8.85546875" style="122"/>
  </cols>
  <sheetData>
    <row r="1" spans="1:19" ht="6.6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9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9">
      <c r="A3" s="124" t="str">
        <f>'TONG HOP'!A3:N3</f>
        <v>(Kèm theo Báo cáo số:      /BC-UBND ngày       tháng      năm 2024 của UBND Thành phố).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9">
      <c r="A4" s="125"/>
      <c r="B4" s="126"/>
      <c r="C4" s="127"/>
      <c r="D4" s="128"/>
      <c r="E4" s="128"/>
      <c r="F4" s="128"/>
      <c r="G4" s="128"/>
      <c r="H4" s="128"/>
      <c r="I4" s="128"/>
      <c r="J4" s="129"/>
      <c r="K4" s="129"/>
      <c r="L4" s="129"/>
      <c r="M4" s="129"/>
      <c r="N4" s="129"/>
      <c r="O4" s="89" t="s">
        <v>0</v>
      </c>
    </row>
    <row r="5" spans="1:19" ht="31.5" customHeight="1">
      <c r="A5" s="130" t="s">
        <v>1</v>
      </c>
      <c r="B5" s="130" t="s">
        <v>2</v>
      </c>
      <c r="C5" s="131" t="s">
        <v>3</v>
      </c>
      <c r="D5" s="132" t="s">
        <v>87</v>
      </c>
      <c r="E5" s="133" t="s">
        <v>96</v>
      </c>
      <c r="F5" s="134"/>
      <c r="G5" s="134"/>
      <c r="H5" s="133" t="s">
        <v>33</v>
      </c>
      <c r="I5" s="135" t="s">
        <v>90</v>
      </c>
      <c r="J5" s="136" t="s">
        <v>34</v>
      </c>
      <c r="K5" s="135" t="s">
        <v>99</v>
      </c>
      <c r="L5" s="136" t="s">
        <v>34</v>
      </c>
      <c r="M5" s="135" t="s">
        <v>98</v>
      </c>
      <c r="N5" s="136" t="s">
        <v>34</v>
      </c>
      <c r="O5" s="130" t="s">
        <v>4</v>
      </c>
    </row>
    <row r="6" spans="1:19">
      <c r="A6" s="130"/>
      <c r="B6" s="130"/>
      <c r="C6" s="137"/>
      <c r="D6" s="132"/>
      <c r="E6" s="133" t="s">
        <v>5</v>
      </c>
      <c r="F6" s="133" t="s">
        <v>30</v>
      </c>
      <c r="G6" s="133"/>
      <c r="H6" s="133"/>
      <c r="I6" s="138"/>
      <c r="J6" s="136"/>
      <c r="K6" s="138"/>
      <c r="L6" s="136"/>
      <c r="M6" s="138"/>
      <c r="N6" s="136"/>
      <c r="O6" s="130"/>
    </row>
    <row r="7" spans="1:19" ht="66" customHeight="1">
      <c r="A7" s="130"/>
      <c r="B7" s="130"/>
      <c r="C7" s="139"/>
      <c r="D7" s="132"/>
      <c r="E7" s="134"/>
      <c r="F7" s="140" t="s">
        <v>31</v>
      </c>
      <c r="G7" s="140" t="s">
        <v>32</v>
      </c>
      <c r="H7" s="133"/>
      <c r="I7" s="141"/>
      <c r="J7" s="136"/>
      <c r="K7" s="141"/>
      <c r="L7" s="136"/>
      <c r="M7" s="141"/>
      <c r="N7" s="136"/>
      <c r="O7" s="130"/>
    </row>
    <row r="8" spans="1:19">
      <c r="A8" s="142"/>
      <c r="B8" s="143" t="s">
        <v>6</v>
      </c>
      <c r="C8" s="144"/>
      <c r="D8" s="145">
        <f>D9+D30</f>
        <v>769629</v>
      </c>
      <c r="E8" s="145">
        <f>E9+E30</f>
        <v>73104.540000000008</v>
      </c>
      <c r="F8" s="145">
        <f>F9+F30</f>
        <v>21144.832999999999</v>
      </c>
      <c r="G8" s="145">
        <f>G9+G30</f>
        <v>51959.707000000002</v>
      </c>
      <c r="H8" s="146">
        <f>E8/D8</f>
        <v>9.4986727371239921E-2</v>
      </c>
      <c r="I8" s="145">
        <f>I9+I30</f>
        <v>149422.698</v>
      </c>
      <c r="J8" s="146">
        <f>I8/D8</f>
        <v>0.19414899646453032</v>
      </c>
      <c r="K8" s="145">
        <f>K9+K30</f>
        <v>259096.60399999999</v>
      </c>
      <c r="L8" s="146">
        <f>K8/D8</f>
        <v>0.33665130082156469</v>
      </c>
      <c r="M8" s="145">
        <f>M9+M30</f>
        <v>408519.30200000003</v>
      </c>
      <c r="N8" s="146">
        <f>M8/D8</f>
        <v>0.53080029728609501</v>
      </c>
      <c r="O8" s="144"/>
    </row>
    <row r="9" spans="1:19">
      <c r="A9" s="142" t="s">
        <v>7</v>
      </c>
      <c r="B9" s="147" t="s">
        <v>36</v>
      </c>
      <c r="C9" s="144"/>
      <c r="D9" s="145">
        <f>D10+D13+D20+D24</f>
        <v>471629</v>
      </c>
      <c r="E9" s="145">
        <f>E10+E13+E20+E24</f>
        <v>63104.54</v>
      </c>
      <c r="F9" s="145">
        <f>F10+F13+F20+F24</f>
        <v>11144.832999999999</v>
      </c>
      <c r="G9" s="145">
        <f>G10+G13+G20+G24</f>
        <v>51959.707000000002</v>
      </c>
      <c r="H9" s="146">
        <f>E9/D9</f>
        <v>0.13380122935612526</v>
      </c>
      <c r="I9" s="145">
        <f>I10+I13+I20+I24</f>
        <v>108413</v>
      </c>
      <c r="J9" s="146">
        <f>I9/D9</f>
        <v>0.22986924044110943</v>
      </c>
      <c r="K9" s="145">
        <f>K10+K13+K20+K24</f>
        <v>132616</v>
      </c>
      <c r="L9" s="146">
        <f t="shared" ref="L9:L10" si="0">K9/D9</f>
        <v>0.28118711953675452</v>
      </c>
      <c r="M9" s="145">
        <f>M10+M13+M20+M24</f>
        <v>241029</v>
      </c>
      <c r="N9" s="146">
        <f>M9/D9</f>
        <v>0.51105635997786392</v>
      </c>
      <c r="O9" s="144"/>
    </row>
    <row r="10" spans="1:19" ht="28.5">
      <c r="A10" s="142" t="s">
        <v>9</v>
      </c>
      <c r="B10" s="147" t="s">
        <v>91</v>
      </c>
      <c r="C10" s="144"/>
      <c r="D10" s="145">
        <f>D11+D12</f>
        <v>5116</v>
      </c>
      <c r="E10" s="145">
        <f>E11+E12</f>
        <v>0</v>
      </c>
      <c r="F10" s="145">
        <f>F11+F12</f>
        <v>0</v>
      </c>
      <c r="G10" s="145">
        <f>G11+G12</f>
        <v>0</v>
      </c>
      <c r="H10" s="146">
        <f>E10/D10</f>
        <v>0</v>
      </c>
      <c r="I10" s="145">
        <f>I11+I12</f>
        <v>0</v>
      </c>
      <c r="J10" s="146">
        <f>I10/D10</f>
        <v>0</v>
      </c>
      <c r="K10" s="145">
        <f>K11+K12</f>
        <v>5116</v>
      </c>
      <c r="L10" s="146">
        <f t="shared" si="0"/>
        <v>1</v>
      </c>
      <c r="M10" s="145">
        <f>M11+M12</f>
        <v>5116</v>
      </c>
      <c r="N10" s="146">
        <f>M10/D10</f>
        <v>1</v>
      </c>
      <c r="O10" s="144"/>
    </row>
    <row r="11" spans="1:19" s="91" customFormat="1" ht="30">
      <c r="A11" s="148">
        <v>1</v>
      </c>
      <c r="B11" s="149" t="s">
        <v>92</v>
      </c>
      <c r="C11" s="150"/>
      <c r="D11" s="87">
        <v>2558</v>
      </c>
      <c r="E11" s="87">
        <f>SUM(F11:G11)</f>
        <v>0</v>
      </c>
      <c r="F11" s="87"/>
      <c r="G11" s="87"/>
      <c r="H11" s="151"/>
      <c r="I11" s="87"/>
      <c r="J11" s="151"/>
      <c r="K11" s="87">
        <f>M11-I11</f>
        <v>2558</v>
      </c>
      <c r="L11" s="151"/>
      <c r="M11" s="87">
        <v>2558</v>
      </c>
      <c r="N11" s="151"/>
      <c r="O11" s="150"/>
      <c r="P11" s="90">
        <f>M11-E11</f>
        <v>2558</v>
      </c>
    </row>
    <row r="12" spans="1:19" s="91" customFormat="1" ht="30">
      <c r="A12" s="148">
        <v>2</v>
      </c>
      <c r="B12" s="149" t="s">
        <v>93</v>
      </c>
      <c r="C12" s="150"/>
      <c r="D12" s="87">
        <v>2558</v>
      </c>
      <c r="E12" s="87">
        <f>SUM(F12:G12)</f>
        <v>0</v>
      </c>
      <c r="F12" s="87"/>
      <c r="G12" s="87"/>
      <c r="H12" s="151"/>
      <c r="I12" s="87"/>
      <c r="J12" s="151"/>
      <c r="K12" s="87">
        <f>M12-I12</f>
        <v>2558</v>
      </c>
      <c r="L12" s="151"/>
      <c r="M12" s="87">
        <v>2558</v>
      </c>
      <c r="N12" s="151"/>
      <c r="O12" s="150"/>
      <c r="P12" s="90">
        <f>M12-E12</f>
        <v>2558</v>
      </c>
    </row>
    <row r="13" spans="1:19">
      <c r="A13" s="142" t="s">
        <v>13</v>
      </c>
      <c r="B13" s="147" t="s">
        <v>37</v>
      </c>
      <c r="C13" s="144"/>
      <c r="D13" s="145">
        <f>SUM(D14:D19)</f>
        <v>187513</v>
      </c>
      <c r="E13" s="145">
        <f>SUM(E14:E19)</f>
        <v>60299.307000000001</v>
      </c>
      <c r="F13" s="145">
        <f>SUM(F14:F19)</f>
        <v>8443.8809999999994</v>
      </c>
      <c r="G13" s="145">
        <f>SUM(G14:G19)</f>
        <v>51855.425999999999</v>
      </c>
      <c r="H13" s="146">
        <f>E13/D13</f>
        <v>0.32157400820209797</v>
      </c>
      <c r="I13" s="145">
        <f>SUM(I14:I19)</f>
        <v>62200</v>
      </c>
      <c r="J13" s="146">
        <f>I13/D13</f>
        <v>0.33171033475012401</v>
      </c>
      <c r="K13" s="145">
        <f>SUM(K14:K19)</f>
        <v>69000</v>
      </c>
      <c r="L13" s="146">
        <f t="shared" ref="L13" si="1">K13/D13</f>
        <v>0.36797448710222758</v>
      </c>
      <c r="M13" s="145">
        <f>SUM(M14:M19)</f>
        <v>131200</v>
      </c>
      <c r="N13" s="146">
        <f>M13/D13</f>
        <v>0.69968482185235159</v>
      </c>
      <c r="O13" s="144"/>
    </row>
    <row r="14" spans="1:19" ht="67.5" customHeight="1">
      <c r="A14" s="148">
        <v>1</v>
      </c>
      <c r="B14" s="152" t="s">
        <v>43</v>
      </c>
      <c r="C14" s="153">
        <v>7935431</v>
      </c>
      <c r="D14" s="154">
        <v>40100</v>
      </c>
      <c r="E14" s="87">
        <f t="shared" ref="E14:E19" si="2">SUM(F14:G14)</f>
        <v>11174.897000000001</v>
      </c>
      <c r="F14" s="155">
        <f>292.415+93.591+2598.971</f>
        <v>2984.9769999999999</v>
      </c>
      <c r="G14" s="155">
        <f>6171+2018.92</f>
        <v>8189.92</v>
      </c>
      <c r="H14" s="146"/>
      <c r="I14" s="87">
        <v>10000</v>
      </c>
      <c r="J14" s="146"/>
      <c r="K14" s="87">
        <f>M14-I14</f>
        <v>30000</v>
      </c>
      <c r="L14" s="146"/>
      <c r="M14" s="87">
        <v>40000</v>
      </c>
      <c r="N14" s="146"/>
      <c r="O14" s="144"/>
    </row>
    <row r="15" spans="1:19" ht="50.25" customHeight="1">
      <c r="A15" s="148">
        <v>2</v>
      </c>
      <c r="B15" s="152" t="s">
        <v>42</v>
      </c>
      <c r="C15" s="153">
        <v>7935432</v>
      </c>
      <c r="D15" s="154">
        <v>53100</v>
      </c>
      <c r="E15" s="87">
        <f t="shared" si="2"/>
        <v>10326.025</v>
      </c>
      <c r="F15" s="145"/>
      <c r="G15" s="87">
        <v>10326.025</v>
      </c>
      <c r="H15" s="146"/>
      <c r="I15" s="87">
        <v>10000</v>
      </c>
      <c r="J15" s="146"/>
      <c r="K15" s="87">
        <f t="shared" ref="K15:K19" si="3">M15-I15</f>
        <v>20000</v>
      </c>
      <c r="L15" s="146"/>
      <c r="M15" s="87">
        <v>30000</v>
      </c>
      <c r="N15" s="146"/>
      <c r="O15" s="144"/>
      <c r="S15" s="156"/>
    </row>
    <row r="16" spans="1:19" ht="51.75" customHeight="1">
      <c r="A16" s="148">
        <v>3</v>
      </c>
      <c r="B16" s="152" t="s">
        <v>44</v>
      </c>
      <c r="C16" s="153">
        <v>7935430</v>
      </c>
      <c r="D16" s="157">
        <v>16000</v>
      </c>
      <c r="E16" s="87">
        <f t="shared" si="2"/>
        <v>4188.9949999999999</v>
      </c>
      <c r="F16" s="87">
        <f>3421.717+767.278</f>
        <v>4188.9949999999999</v>
      </c>
      <c r="G16" s="87"/>
      <c r="H16" s="146"/>
      <c r="I16" s="87">
        <v>3000</v>
      </c>
      <c r="J16" s="146"/>
      <c r="K16" s="87">
        <f t="shared" si="3"/>
        <v>9000</v>
      </c>
      <c r="L16" s="146"/>
      <c r="M16" s="87">
        <v>12000</v>
      </c>
      <c r="N16" s="146"/>
      <c r="O16" s="144"/>
      <c r="S16" s="156"/>
    </row>
    <row r="17" spans="1:19" ht="66.75" customHeight="1">
      <c r="A17" s="148">
        <v>4</v>
      </c>
      <c r="B17" s="152" t="s">
        <v>14</v>
      </c>
      <c r="C17" s="153">
        <v>7965206</v>
      </c>
      <c r="D17" s="158">
        <v>30000</v>
      </c>
      <c r="E17" s="155">
        <f t="shared" si="2"/>
        <v>13455.481</v>
      </c>
      <c r="F17" s="87"/>
      <c r="G17" s="87">
        <f>455.481+13000</f>
        <v>13455.481</v>
      </c>
      <c r="H17" s="146"/>
      <c r="I17" s="87">
        <v>12000</v>
      </c>
      <c r="J17" s="146"/>
      <c r="K17" s="87">
        <f t="shared" si="3"/>
        <v>8000</v>
      </c>
      <c r="L17" s="146"/>
      <c r="M17" s="87">
        <v>20000</v>
      </c>
      <c r="N17" s="146"/>
      <c r="O17" s="144"/>
      <c r="S17" s="156"/>
    </row>
    <row r="18" spans="1:19" ht="51" customHeight="1">
      <c r="A18" s="148">
        <v>5</v>
      </c>
      <c r="B18" s="152" t="s">
        <v>57</v>
      </c>
      <c r="C18" s="153">
        <v>7959231</v>
      </c>
      <c r="D18" s="154">
        <v>26113</v>
      </c>
      <c r="E18" s="87">
        <f t="shared" si="2"/>
        <v>0</v>
      </c>
      <c r="F18" s="87"/>
      <c r="G18" s="87"/>
      <c r="H18" s="145"/>
      <c r="I18" s="87">
        <v>5000</v>
      </c>
      <c r="J18" s="145"/>
      <c r="K18" s="87">
        <f t="shared" si="3"/>
        <v>2000</v>
      </c>
      <c r="L18" s="145"/>
      <c r="M18" s="87">
        <v>7000</v>
      </c>
      <c r="N18" s="145"/>
      <c r="O18" s="144"/>
    </row>
    <row r="19" spans="1:19" ht="35.25" customHeight="1">
      <c r="A19" s="148">
        <v>6</v>
      </c>
      <c r="B19" s="159" t="s">
        <v>26</v>
      </c>
      <c r="C19" s="153">
        <v>7891902</v>
      </c>
      <c r="D19" s="154">
        <v>22200</v>
      </c>
      <c r="E19" s="87">
        <f t="shared" si="2"/>
        <v>21153.909</v>
      </c>
      <c r="F19" s="87">
        <f>95+307.423+734.405+133.081</f>
        <v>1269.9089999999999</v>
      </c>
      <c r="G19" s="87">
        <v>19884</v>
      </c>
      <c r="H19" s="146"/>
      <c r="I19" s="87">
        <v>22200</v>
      </c>
      <c r="J19" s="146"/>
      <c r="K19" s="87">
        <f t="shared" si="3"/>
        <v>0</v>
      </c>
      <c r="L19" s="146"/>
      <c r="M19" s="87">
        <v>22200</v>
      </c>
      <c r="N19" s="146"/>
      <c r="O19" s="144"/>
      <c r="P19" s="121">
        <v>21153.909</v>
      </c>
      <c r="Q19" s="156">
        <f>P19-E19</f>
        <v>0</v>
      </c>
    </row>
    <row r="20" spans="1:19">
      <c r="A20" s="142" t="s">
        <v>52</v>
      </c>
      <c r="B20" s="147" t="s">
        <v>38</v>
      </c>
      <c r="C20" s="144"/>
      <c r="D20" s="145">
        <f>D21</f>
        <v>20000</v>
      </c>
      <c r="E20" s="145">
        <f>E21</f>
        <v>0</v>
      </c>
      <c r="F20" s="145">
        <f>F21</f>
        <v>0</v>
      </c>
      <c r="G20" s="145">
        <f>G21</f>
        <v>0</v>
      </c>
      <c r="H20" s="146">
        <f>E20/D20</f>
        <v>0</v>
      </c>
      <c r="I20" s="145">
        <f>I21</f>
        <v>4500</v>
      </c>
      <c r="J20" s="146">
        <f>I20/D20</f>
        <v>0.22500000000000001</v>
      </c>
      <c r="K20" s="145">
        <f>K21</f>
        <v>11500</v>
      </c>
      <c r="L20" s="146">
        <f t="shared" ref="L20" si="4">K20/D20</f>
        <v>0.57499999999999996</v>
      </c>
      <c r="M20" s="145">
        <f>M21</f>
        <v>16000</v>
      </c>
      <c r="N20" s="146">
        <f>M20/D20</f>
        <v>0.8</v>
      </c>
      <c r="O20" s="144"/>
    </row>
    <row r="21" spans="1:19" s="93" customFormat="1" ht="14.25">
      <c r="A21" s="160"/>
      <c r="B21" s="161" t="s">
        <v>46</v>
      </c>
      <c r="C21" s="162"/>
      <c r="D21" s="163">
        <f>D22+D23</f>
        <v>20000</v>
      </c>
      <c r="E21" s="163">
        <f>E22+E23</f>
        <v>0</v>
      </c>
      <c r="F21" s="163">
        <f>F22+F23</f>
        <v>0</v>
      </c>
      <c r="G21" s="163">
        <f>G22+G23</f>
        <v>0</v>
      </c>
      <c r="H21" s="146"/>
      <c r="I21" s="163">
        <f>I22+I23</f>
        <v>4500</v>
      </c>
      <c r="J21" s="146"/>
      <c r="K21" s="145">
        <f>K22+K23</f>
        <v>11500</v>
      </c>
      <c r="L21" s="146"/>
      <c r="M21" s="163">
        <f>M22+M23</f>
        <v>16000</v>
      </c>
      <c r="N21" s="146"/>
      <c r="O21" s="144"/>
      <c r="P21" s="92"/>
    </row>
    <row r="22" spans="1:19">
      <c r="A22" s="164">
        <v>1</v>
      </c>
      <c r="B22" s="165" t="s">
        <v>72</v>
      </c>
      <c r="C22" s="166">
        <v>7891589</v>
      </c>
      <c r="D22" s="167">
        <v>13000</v>
      </c>
      <c r="E22" s="87">
        <f>SUM(F22:G22)</f>
        <v>0</v>
      </c>
      <c r="F22" s="145"/>
      <c r="G22" s="145"/>
      <c r="H22" s="146"/>
      <c r="I22" s="87">
        <v>3500</v>
      </c>
      <c r="J22" s="146"/>
      <c r="K22" s="87">
        <f>M22-I22</f>
        <v>9500</v>
      </c>
      <c r="L22" s="146"/>
      <c r="M22" s="167">
        <v>13000</v>
      </c>
      <c r="N22" s="146"/>
      <c r="O22" s="150"/>
    </row>
    <row r="23" spans="1:19" ht="113.25" customHeight="1">
      <c r="A23" s="164">
        <v>2</v>
      </c>
      <c r="B23" s="165" t="s">
        <v>73</v>
      </c>
      <c r="C23" s="166">
        <v>7891903</v>
      </c>
      <c r="D23" s="167">
        <v>7000</v>
      </c>
      <c r="E23" s="87">
        <f>SUM(F23:G23)</f>
        <v>0</v>
      </c>
      <c r="F23" s="168"/>
      <c r="G23" s="168"/>
      <c r="H23" s="146"/>
      <c r="I23" s="169">
        <v>1000</v>
      </c>
      <c r="J23" s="146"/>
      <c r="K23" s="87">
        <f>M23-I23</f>
        <v>2000</v>
      </c>
      <c r="L23" s="146"/>
      <c r="M23" s="167">
        <v>3000</v>
      </c>
      <c r="N23" s="146"/>
      <c r="O23" s="144"/>
    </row>
    <row r="24" spans="1:19" ht="16.149999999999999" customHeight="1">
      <c r="A24" s="170" t="s">
        <v>94</v>
      </c>
      <c r="B24" s="171" t="s">
        <v>89</v>
      </c>
      <c r="C24" s="172"/>
      <c r="D24" s="168">
        <f>SUM(D25:D29)</f>
        <v>259000</v>
      </c>
      <c r="E24" s="168">
        <f>SUM(E25:E29)</f>
        <v>2805.2330000000002</v>
      </c>
      <c r="F24" s="168">
        <f>SUM(F25:F29)</f>
        <v>2700.9520000000002</v>
      </c>
      <c r="G24" s="168">
        <f>SUM(G25:G29)</f>
        <v>104.28099999999999</v>
      </c>
      <c r="H24" s="146">
        <f>E24/D24</f>
        <v>1.0831015444015445E-2</v>
      </c>
      <c r="I24" s="168">
        <f>SUM(I25:I29)</f>
        <v>41713</v>
      </c>
      <c r="J24" s="146">
        <f>I24/D24</f>
        <v>0.16105405405405404</v>
      </c>
      <c r="K24" s="145">
        <f>SUM(K25:K29)</f>
        <v>47000</v>
      </c>
      <c r="L24" s="146">
        <f t="shared" ref="L24" si="5">K24/D24</f>
        <v>0.18146718146718147</v>
      </c>
      <c r="M24" s="168">
        <f>SUM(M25:M29)</f>
        <v>88713</v>
      </c>
      <c r="N24" s="146">
        <f>M24/D24</f>
        <v>0.34252123552123553</v>
      </c>
      <c r="O24" s="144"/>
    </row>
    <row r="25" spans="1:19" ht="67.5" customHeight="1">
      <c r="A25" s="173">
        <v>1</v>
      </c>
      <c r="B25" s="174" t="s">
        <v>74</v>
      </c>
      <c r="C25" s="166">
        <v>7959231</v>
      </c>
      <c r="D25" s="167">
        <v>83113</v>
      </c>
      <c r="E25" s="87">
        <f>SUM(F25:G25)</f>
        <v>2805.2330000000002</v>
      </c>
      <c r="F25" s="87">
        <f>456+2244.952</f>
        <v>2700.9520000000002</v>
      </c>
      <c r="G25" s="87">
        <f>12.008+92.273</f>
        <v>104.28099999999999</v>
      </c>
      <c r="H25" s="145"/>
      <c r="I25" s="87">
        <v>23113</v>
      </c>
      <c r="J25" s="145"/>
      <c r="K25" s="87">
        <f>M25-I25</f>
        <v>29000</v>
      </c>
      <c r="L25" s="145"/>
      <c r="M25" s="87">
        <v>52113</v>
      </c>
      <c r="N25" s="145"/>
      <c r="O25" s="144"/>
    </row>
    <row r="26" spans="1:19" ht="35.25" customHeight="1">
      <c r="A26" s="173">
        <v>2</v>
      </c>
      <c r="B26" s="174" t="s">
        <v>75</v>
      </c>
      <c r="C26" s="166">
        <v>7888547</v>
      </c>
      <c r="D26" s="167">
        <v>50000</v>
      </c>
      <c r="E26" s="87">
        <f>SUM(F26:G26)</f>
        <v>0</v>
      </c>
      <c r="F26" s="175"/>
      <c r="G26" s="175"/>
      <c r="H26" s="146"/>
      <c r="I26" s="176">
        <v>0</v>
      </c>
      <c r="J26" s="146"/>
      <c r="K26" s="87">
        <f t="shared" ref="K26:K29" si="6">M26-I26</f>
        <v>0</v>
      </c>
      <c r="L26" s="146"/>
      <c r="M26" s="151"/>
      <c r="N26" s="146"/>
      <c r="O26" s="144"/>
    </row>
    <row r="27" spans="1:19" ht="35.25" customHeight="1">
      <c r="A27" s="173">
        <v>3</v>
      </c>
      <c r="B27" s="174" t="s">
        <v>76</v>
      </c>
      <c r="C27" s="166" t="s">
        <v>86</v>
      </c>
      <c r="D27" s="167">
        <v>50000</v>
      </c>
      <c r="E27" s="87">
        <f>SUM(F27:G27)</f>
        <v>0</v>
      </c>
      <c r="F27" s="177"/>
      <c r="G27" s="177"/>
      <c r="H27" s="145"/>
      <c r="I27" s="178">
        <v>0</v>
      </c>
      <c r="J27" s="145"/>
      <c r="K27" s="87">
        <f t="shared" si="6"/>
        <v>0</v>
      </c>
      <c r="L27" s="145"/>
      <c r="M27" s="87"/>
      <c r="N27" s="145"/>
      <c r="O27" s="144"/>
    </row>
    <row r="28" spans="1:19" ht="51" customHeight="1">
      <c r="A28" s="173">
        <v>4</v>
      </c>
      <c r="B28" s="174" t="s">
        <v>57</v>
      </c>
      <c r="C28" s="166">
        <v>7959231</v>
      </c>
      <c r="D28" s="167">
        <v>13887</v>
      </c>
      <c r="E28" s="87">
        <f>SUM(F28:G28)</f>
        <v>0</v>
      </c>
      <c r="F28" s="177"/>
      <c r="G28" s="177"/>
      <c r="H28" s="145"/>
      <c r="I28" s="178">
        <v>0</v>
      </c>
      <c r="J28" s="145"/>
      <c r="K28" s="87">
        <f t="shared" si="6"/>
        <v>8000</v>
      </c>
      <c r="L28" s="145"/>
      <c r="M28" s="87">
        <v>8000</v>
      </c>
      <c r="N28" s="145"/>
      <c r="O28" s="144"/>
    </row>
    <row r="29" spans="1:19" ht="24.6" customHeight="1">
      <c r="A29" s="173">
        <v>5</v>
      </c>
      <c r="B29" s="174" t="s">
        <v>77</v>
      </c>
      <c r="C29" s="166">
        <v>8016527</v>
      </c>
      <c r="D29" s="167">
        <v>62000</v>
      </c>
      <c r="E29" s="87">
        <f>SUM(F29:G29)</f>
        <v>0</v>
      </c>
      <c r="F29" s="87"/>
      <c r="G29" s="87"/>
      <c r="H29" s="145"/>
      <c r="I29" s="87">
        <v>18600</v>
      </c>
      <c r="J29" s="145"/>
      <c r="K29" s="87">
        <f t="shared" si="6"/>
        <v>10000</v>
      </c>
      <c r="L29" s="145"/>
      <c r="M29" s="87">
        <v>28600</v>
      </c>
      <c r="N29" s="145"/>
      <c r="O29" s="150"/>
    </row>
    <row r="30" spans="1:19">
      <c r="A30" s="179" t="s">
        <v>15</v>
      </c>
      <c r="B30" s="180" t="s">
        <v>39</v>
      </c>
      <c r="C30" s="181"/>
      <c r="D30" s="182">
        <f>D31+D40</f>
        <v>298000</v>
      </c>
      <c r="E30" s="182">
        <f>E31+E40</f>
        <v>10000</v>
      </c>
      <c r="F30" s="182">
        <f>F31+F40</f>
        <v>10000</v>
      </c>
      <c r="G30" s="182">
        <f>G31+G40</f>
        <v>0</v>
      </c>
      <c r="H30" s="146">
        <f>E30/D30</f>
        <v>3.3557046979865772E-2</v>
      </c>
      <c r="I30" s="182">
        <f>I31+I40</f>
        <v>41009.698000000004</v>
      </c>
      <c r="J30" s="146">
        <f>I30/D30</f>
        <v>0.13761643624161074</v>
      </c>
      <c r="K30" s="145">
        <f>K31+K40</f>
        <v>126480.60399999999</v>
      </c>
      <c r="L30" s="146">
        <f t="shared" ref="L30:L31" si="7">K30/D30</f>
        <v>0.42443155704697982</v>
      </c>
      <c r="M30" s="182">
        <f>M31+M40</f>
        <v>167490.302</v>
      </c>
      <c r="N30" s="146"/>
      <c r="O30" s="150"/>
    </row>
    <row r="31" spans="1:19">
      <c r="A31" s="183" t="s">
        <v>7</v>
      </c>
      <c r="B31" s="184" t="s">
        <v>8</v>
      </c>
      <c r="C31" s="185"/>
      <c r="D31" s="186">
        <f>D32+D37+D34</f>
        <v>28000</v>
      </c>
      <c r="E31" s="186">
        <f>E32+E37+E34</f>
        <v>0</v>
      </c>
      <c r="F31" s="186">
        <f>F32+F37+F34</f>
        <v>0</v>
      </c>
      <c r="G31" s="186">
        <f>G32+G37+G34</f>
        <v>0</v>
      </c>
      <c r="H31" s="146">
        <f>E31/D31</f>
        <v>0</v>
      </c>
      <c r="I31" s="186">
        <f>I32+I37+I34</f>
        <v>0</v>
      </c>
      <c r="J31" s="146">
        <f>I31/D31</f>
        <v>0</v>
      </c>
      <c r="K31" s="145">
        <f>K32+K37+K34</f>
        <v>17600</v>
      </c>
      <c r="L31" s="146">
        <f t="shared" si="7"/>
        <v>0.62857142857142856</v>
      </c>
      <c r="M31" s="186">
        <f>M32+M37+M34</f>
        <v>17600</v>
      </c>
      <c r="N31" s="146"/>
      <c r="O31" s="150"/>
    </row>
    <row r="32" spans="1:19" ht="28.5">
      <c r="A32" s="183" t="s">
        <v>9</v>
      </c>
      <c r="B32" s="184" t="s">
        <v>78</v>
      </c>
      <c r="C32" s="185"/>
      <c r="D32" s="186">
        <f t="shared" ref="D32:M32" si="8">D33</f>
        <v>1000</v>
      </c>
      <c r="E32" s="186">
        <f t="shared" si="8"/>
        <v>0</v>
      </c>
      <c r="F32" s="186">
        <f t="shared" si="8"/>
        <v>0</v>
      </c>
      <c r="G32" s="186">
        <f t="shared" si="8"/>
        <v>0</v>
      </c>
      <c r="H32" s="146"/>
      <c r="I32" s="186">
        <f t="shared" si="8"/>
        <v>0</v>
      </c>
      <c r="J32" s="145"/>
      <c r="K32" s="87">
        <f t="shared" si="8"/>
        <v>0</v>
      </c>
      <c r="L32" s="145"/>
      <c r="M32" s="186">
        <f t="shared" si="8"/>
        <v>0</v>
      </c>
      <c r="N32" s="145"/>
      <c r="O32" s="144"/>
    </row>
    <row r="33" spans="1:15" ht="45">
      <c r="A33" s="187">
        <v>1</v>
      </c>
      <c r="B33" s="188" t="s">
        <v>19</v>
      </c>
      <c r="C33" s="153"/>
      <c r="D33" s="154">
        <v>1000</v>
      </c>
      <c r="E33" s="87">
        <f>SUM(F33:G33)</f>
        <v>0</v>
      </c>
      <c r="F33" s="145"/>
      <c r="G33" s="145"/>
      <c r="H33" s="146"/>
      <c r="I33" s="87">
        <v>0</v>
      </c>
      <c r="J33" s="146"/>
      <c r="K33" s="87">
        <f>M33-I33</f>
        <v>0</v>
      </c>
      <c r="L33" s="146"/>
      <c r="M33" s="154"/>
      <c r="N33" s="146"/>
      <c r="O33" s="144"/>
    </row>
    <row r="34" spans="1:15">
      <c r="A34" s="183" t="s">
        <v>13</v>
      </c>
      <c r="B34" s="184" t="s">
        <v>10</v>
      </c>
      <c r="C34" s="185"/>
      <c r="D34" s="186">
        <f t="shared" ref="D34:M35" si="9">D35</f>
        <v>18000</v>
      </c>
      <c r="E34" s="186">
        <f t="shared" si="9"/>
        <v>0</v>
      </c>
      <c r="F34" s="186">
        <f t="shared" si="9"/>
        <v>0</v>
      </c>
      <c r="G34" s="186">
        <f t="shared" si="9"/>
        <v>0</v>
      </c>
      <c r="H34" s="146"/>
      <c r="I34" s="186">
        <f t="shared" si="9"/>
        <v>0</v>
      </c>
      <c r="J34" s="146"/>
      <c r="K34" s="145">
        <f t="shared" si="9"/>
        <v>9000</v>
      </c>
      <c r="L34" s="146"/>
      <c r="M34" s="186">
        <f t="shared" si="9"/>
        <v>9000</v>
      </c>
      <c r="N34" s="146"/>
      <c r="O34" s="144"/>
    </row>
    <row r="35" spans="1:15">
      <c r="A35" s="183">
        <v>1</v>
      </c>
      <c r="B35" s="184" t="s">
        <v>25</v>
      </c>
      <c r="C35" s="185"/>
      <c r="D35" s="186">
        <f t="shared" si="9"/>
        <v>18000</v>
      </c>
      <c r="E35" s="186">
        <f t="shared" si="9"/>
        <v>0</v>
      </c>
      <c r="F35" s="186">
        <f t="shared" si="9"/>
        <v>0</v>
      </c>
      <c r="G35" s="186">
        <f t="shared" si="9"/>
        <v>0</v>
      </c>
      <c r="H35" s="146"/>
      <c r="I35" s="186">
        <f t="shared" si="9"/>
        <v>0</v>
      </c>
      <c r="J35" s="146"/>
      <c r="K35" s="145">
        <f t="shared" si="9"/>
        <v>9000</v>
      </c>
      <c r="L35" s="146"/>
      <c r="M35" s="186">
        <f t="shared" si="9"/>
        <v>9000</v>
      </c>
      <c r="N35" s="146"/>
      <c r="O35" s="144"/>
    </row>
    <row r="36" spans="1:15" ht="30">
      <c r="A36" s="187">
        <v>1</v>
      </c>
      <c r="B36" s="188" t="s">
        <v>26</v>
      </c>
      <c r="C36" s="153">
        <v>7891902</v>
      </c>
      <c r="D36" s="154">
        <v>18000</v>
      </c>
      <c r="E36" s="87">
        <f>SUM(F36:G36)</f>
        <v>0</v>
      </c>
      <c r="F36" s="145"/>
      <c r="G36" s="145"/>
      <c r="H36" s="146"/>
      <c r="I36" s="87">
        <v>0</v>
      </c>
      <c r="J36" s="146"/>
      <c r="K36" s="87">
        <f>M36-I36</f>
        <v>9000</v>
      </c>
      <c r="L36" s="146"/>
      <c r="M36" s="154">
        <v>9000</v>
      </c>
      <c r="N36" s="146"/>
      <c r="O36" s="143"/>
    </row>
    <row r="37" spans="1:15">
      <c r="A37" s="183" t="s">
        <v>52</v>
      </c>
      <c r="B37" s="184" t="s">
        <v>79</v>
      </c>
      <c r="C37" s="185"/>
      <c r="D37" s="186">
        <f t="shared" ref="D37:M37" si="10">D38</f>
        <v>9000</v>
      </c>
      <c r="E37" s="186">
        <f t="shared" si="10"/>
        <v>0</v>
      </c>
      <c r="F37" s="186">
        <f t="shared" si="10"/>
        <v>0</v>
      </c>
      <c r="G37" s="186">
        <f t="shared" si="10"/>
        <v>0</v>
      </c>
      <c r="H37" s="189"/>
      <c r="I37" s="186">
        <f t="shared" si="10"/>
        <v>0</v>
      </c>
      <c r="J37" s="189"/>
      <c r="K37" s="145">
        <f t="shared" si="10"/>
        <v>8600</v>
      </c>
      <c r="L37" s="189"/>
      <c r="M37" s="186">
        <f t="shared" si="10"/>
        <v>8600</v>
      </c>
      <c r="N37" s="189"/>
      <c r="O37" s="190"/>
    </row>
    <row r="38" spans="1:15">
      <c r="A38" s="183"/>
      <c r="B38" s="184" t="s">
        <v>11</v>
      </c>
      <c r="C38" s="185"/>
      <c r="D38" s="186">
        <f t="shared" ref="D38:M38" si="11">SUM(D39:D39)</f>
        <v>9000</v>
      </c>
      <c r="E38" s="186">
        <f t="shared" si="11"/>
        <v>0</v>
      </c>
      <c r="F38" s="186">
        <f t="shared" si="11"/>
        <v>0</v>
      </c>
      <c r="G38" s="186">
        <f t="shared" si="11"/>
        <v>0</v>
      </c>
      <c r="H38" s="191"/>
      <c r="I38" s="186">
        <f t="shared" si="11"/>
        <v>0</v>
      </c>
      <c r="J38" s="191"/>
      <c r="K38" s="145">
        <f t="shared" si="11"/>
        <v>8600</v>
      </c>
      <c r="L38" s="191"/>
      <c r="M38" s="186">
        <f t="shared" si="11"/>
        <v>8600</v>
      </c>
      <c r="N38" s="191"/>
      <c r="O38" s="150"/>
    </row>
    <row r="39" spans="1:15">
      <c r="A39" s="187">
        <v>1</v>
      </c>
      <c r="B39" s="188" t="s">
        <v>14</v>
      </c>
      <c r="C39" s="166">
        <v>7965206</v>
      </c>
      <c r="D39" s="154">
        <v>9000</v>
      </c>
      <c r="E39" s="87"/>
      <c r="F39" s="192"/>
      <c r="G39" s="192"/>
      <c r="H39" s="146"/>
      <c r="I39" s="192"/>
      <c r="J39" s="146"/>
      <c r="K39" s="87">
        <f>M39-I39</f>
        <v>8600</v>
      </c>
      <c r="L39" s="146"/>
      <c r="M39" s="154">
        <v>8600</v>
      </c>
      <c r="N39" s="146"/>
      <c r="O39" s="144"/>
    </row>
    <row r="40" spans="1:15">
      <c r="A40" s="183" t="s">
        <v>15</v>
      </c>
      <c r="B40" s="184" t="s">
        <v>16</v>
      </c>
      <c r="C40" s="185"/>
      <c r="D40" s="186">
        <f>D41+D47+D57</f>
        <v>270000</v>
      </c>
      <c r="E40" s="186">
        <f>E41+E47+E57</f>
        <v>10000</v>
      </c>
      <c r="F40" s="186">
        <f>F41+F47+F57</f>
        <v>10000</v>
      </c>
      <c r="G40" s="186">
        <f>G41+G47+G57</f>
        <v>0</v>
      </c>
      <c r="H40" s="146">
        <f>E40/D40</f>
        <v>3.7037037037037035E-2</v>
      </c>
      <c r="I40" s="186">
        <f>I41+I47+I57</f>
        <v>41009.698000000004</v>
      </c>
      <c r="J40" s="146">
        <f>I40/D40</f>
        <v>0.15188777037037038</v>
      </c>
      <c r="K40" s="145">
        <f>K41+K47+K57</f>
        <v>108880.60399999999</v>
      </c>
      <c r="L40" s="146">
        <f t="shared" ref="L40" si="12">K40/D40</f>
        <v>0.40326149629629626</v>
      </c>
      <c r="M40" s="186">
        <f>M41+M47+M57</f>
        <v>149890.302</v>
      </c>
      <c r="N40" s="146"/>
      <c r="O40" s="150"/>
    </row>
    <row r="41" spans="1:15" ht="28.5">
      <c r="A41" s="183" t="s">
        <v>9</v>
      </c>
      <c r="B41" s="184" t="s">
        <v>17</v>
      </c>
      <c r="C41" s="185"/>
      <c r="D41" s="186">
        <f>D42+D45</f>
        <v>16600</v>
      </c>
      <c r="E41" s="186">
        <f>E42+E45</f>
        <v>0</v>
      </c>
      <c r="F41" s="186">
        <f>F42+F45</f>
        <v>0</v>
      </c>
      <c r="G41" s="186">
        <f>G42+G45</f>
        <v>0</v>
      </c>
      <c r="H41" s="146"/>
      <c r="I41" s="186">
        <f>I42+I45</f>
        <v>0</v>
      </c>
      <c r="J41" s="146"/>
      <c r="K41" s="186">
        <f>K42+K45</f>
        <v>0</v>
      </c>
      <c r="L41" s="146"/>
      <c r="M41" s="186">
        <f>M42+M45</f>
        <v>0</v>
      </c>
      <c r="N41" s="146"/>
      <c r="O41" s="144"/>
    </row>
    <row r="42" spans="1:15">
      <c r="A42" s="183">
        <v>1</v>
      </c>
      <c r="B42" s="184" t="s">
        <v>18</v>
      </c>
      <c r="C42" s="185"/>
      <c r="D42" s="186">
        <f>SUM(D43:D44)</f>
        <v>2400</v>
      </c>
      <c r="E42" s="186">
        <f>SUM(E43:E44)</f>
        <v>0</v>
      </c>
      <c r="F42" s="186">
        <f>SUM(F43:F44)</f>
        <v>0</v>
      </c>
      <c r="G42" s="186">
        <f>SUM(G43:G44)</f>
        <v>0</v>
      </c>
      <c r="H42" s="151"/>
      <c r="I42" s="186">
        <f>SUM(I43:I44)</f>
        <v>0</v>
      </c>
      <c r="J42" s="151"/>
      <c r="K42" s="186">
        <f>SUM(K43:K44)</f>
        <v>0</v>
      </c>
      <c r="L42" s="151"/>
      <c r="M42" s="186">
        <f>SUM(M43:M44)</f>
        <v>0</v>
      </c>
      <c r="N42" s="151"/>
      <c r="O42" s="193"/>
    </row>
    <row r="43" spans="1:15" ht="45">
      <c r="A43" s="187">
        <v>1</v>
      </c>
      <c r="B43" s="188" t="s">
        <v>19</v>
      </c>
      <c r="C43" s="153"/>
      <c r="D43" s="154">
        <v>1400</v>
      </c>
      <c r="E43" s="87">
        <f>SUM(F43:G43)</f>
        <v>0</v>
      </c>
      <c r="F43" s="192"/>
      <c r="G43" s="192"/>
      <c r="H43" s="146"/>
      <c r="I43" s="192"/>
      <c r="J43" s="146"/>
      <c r="K43" s="87"/>
      <c r="L43" s="146"/>
      <c r="M43" s="192"/>
      <c r="N43" s="146"/>
      <c r="O43" s="143"/>
    </row>
    <row r="44" spans="1:15" ht="30">
      <c r="A44" s="187">
        <v>2</v>
      </c>
      <c r="B44" s="188" t="s">
        <v>20</v>
      </c>
      <c r="C44" s="153"/>
      <c r="D44" s="154">
        <v>1000</v>
      </c>
      <c r="E44" s="87">
        <f>SUM(F44:G44)</f>
        <v>0</v>
      </c>
      <c r="F44" s="87"/>
      <c r="G44" s="87"/>
      <c r="H44" s="151"/>
      <c r="I44" s="87"/>
      <c r="J44" s="151"/>
      <c r="K44" s="87"/>
      <c r="L44" s="151"/>
      <c r="M44" s="87"/>
      <c r="N44" s="151"/>
      <c r="O44" s="150"/>
    </row>
    <row r="45" spans="1:15">
      <c r="A45" s="183">
        <v>2</v>
      </c>
      <c r="B45" s="184" t="s">
        <v>21</v>
      </c>
      <c r="C45" s="185"/>
      <c r="D45" s="186">
        <f t="shared" ref="D45:M45" si="13">SUM(D46)</f>
        <v>14200</v>
      </c>
      <c r="E45" s="186">
        <f t="shared" si="13"/>
        <v>0</v>
      </c>
      <c r="F45" s="186">
        <f t="shared" si="13"/>
        <v>0</v>
      </c>
      <c r="G45" s="186">
        <f t="shared" si="13"/>
        <v>0</v>
      </c>
      <c r="H45" s="151"/>
      <c r="I45" s="186">
        <f t="shared" si="13"/>
        <v>0</v>
      </c>
      <c r="J45" s="151"/>
      <c r="K45" s="87">
        <f t="shared" si="13"/>
        <v>0</v>
      </c>
      <c r="L45" s="151"/>
      <c r="M45" s="186">
        <f t="shared" si="13"/>
        <v>0</v>
      </c>
      <c r="N45" s="151"/>
      <c r="O45" s="150"/>
    </row>
    <row r="46" spans="1:15">
      <c r="A46" s="187">
        <v>1</v>
      </c>
      <c r="B46" s="188" t="s">
        <v>22</v>
      </c>
      <c r="C46" s="153"/>
      <c r="D46" s="154">
        <v>14200</v>
      </c>
      <c r="E46" s="87">
        <f>SUM(F46:G46)</f>
        <v>0</v>
      </c>
      <c r="F46" s="192"/>
      <c r="G46" s="192"/>
      <c r="H46" s="146"/>
      <c r="I46" s="192"/>
      <c r="J46" s="146"/>
      <c r="K46" s="87">
        <f>M46-I46</f>
        <v>0</v>
      </c>
      <c r="L46" s="146"/>
      <c r="M46" s="192"/>
      <c r="N46" s="146"/>
      <c r="O46" s="143"/>
    </row>
    <row r="47" spans="1:15">
      <c r="A47" s="183" t="s">
        <v>13</v>
      </c>
      <c r="B47" s="184" t="s">
        <v>10</v>
      </c>
      <c r="C47" s="185"/>
      <c r="D47" s="186">
        <f>D48+D53</f>
        <v>194500</v>
      </c>
      <c r="E47" s="186">
        <f>E48+E53</f>
        <v>10000</v>
      </c>
      <c r="F47" s="186">
        <f>F48+F53</f>
        <v>10000</v>
      </c>
      <c r="G47" s="186">
        <f>G48+G53</f>
        <v>0</v>
      </c>
      <c r="H47" s="151"/>
      <c r="I47" s="186">
        <f>I48+I53</f>
        <v>41009.698000000004</v>
      </c>
      <c r="J47" s="151"/>
      <c r="K47" s="145">
        <f>K48+K53</f>
        <v>69980.603999999992</v>
      </c>
      <c r="L47" s="151"/>
      <c r="M47" s="186">
        <f>M48+M53</f>
        <v>110990.302</v>
      </c>
      <c r="N47" s="151"/>
      <c r="O47" s="193"/>
    </row>
    <row r="48" spans="1:15">
      <c r="A48" s="183">
        <v>1</v>
      </c>
      <c r="B48" s="184" t="s">
        <v>12</v>
      </c>
      <c r="C48" s="185"/>
      <c r="D48" s="186">
        <f>SUM(D49:D52)</f>
        <v>173500</v>
      </c>
      <c r="E48" s="186">
        <f>SUM(E49:E52)</f>
        <v>0</v>
      </c>
      <c r="F48" s="186">
        <f>SUM(F49:F52)</f>
        <v>0</v>
      </c>
      <c r="G48" s="186">
        <f>SUM(G49:G52)</f>
        <v>0</v>
      </c>
      <c r="H48" s="146"/>
      <c r="I48" s="186">
        <f>SUM(I49:I52)</f>
        <v>41009.698000000004</v>
      </c>
      <c r="J48" s="146"/>
      <c r="K48" s="145">
        <f>SUM(K49:K52)</f>
        <v>68980.603999999992</v>
      </c>
      <c r="L48" s="146"/>
      <c r="M48" s="186">
        <f>SUM(M49:M52)</f>
        <v>109990.302</v>
      </c>
      <c r="N48" s="146"/>
      <c r="O48" s="194"/>
    </row>
    <row r="49" spans="1:15">
      <c r="A49" s="187">
        <v>1</v>
      </c>
      <c r="B49" s="188" t="s">
        <v>24</v>
      </c>
      <c r="C49" s="153"/>
      <c r="D49" s="154">
        <v>10000</v>
      </c>
      <c r="E49" s="87">
        <f>SUM(F49:G49)</f>
        <v>0</v>
      </c>
      <c r="F49" s="195"/>
      <c r="G49" s="195"/>
      <c r="H49" s="146"/>
      <c r="I49" s="196"/>
      <c r="J49" s="146"/>
      <c r="K49" s="87">
        <f t="shared" ref="K49:K51" si="14">M49-I49</f>
        <v>0</v>
      </c>
      <c r="L49" s="146"/>
      <c r="M49" s="197"/>
      <c r="N49" s="146"/>
      <c r="O49" s="198"/>
    </row>
    <row r="50" spans="1:15">
      <c r="A50" s="187">
        <v>2</v>
      </c>
      <c r="B50" s="188" t="s">
        <v>45</v>
      </c>
      <c r="C50" s="153"/>
      <c r="D50" s="154">
        <v>18000</v>
      </c>
      <c r="E50" s="87">
        <f>SUM(F50:G50)</f>
        <v>0</v>
      </c>
      <c r="F50" s="196"/>
      <c r="G50" s="196"/>
      <c r="H50" s="191"/>
      <c r="I50" s="196"/>
      <c r="J50" s="191"/>
      <c r="K50" s="87">
        <f t="shared" si="14"/>
        <v>0</v>
      </c>
      <c r="L50" s="191"/>
      <c r="M50" s="197"/>
      <c r="N50" s="191"/>
      <c r="O50" s="150"/>
    </row>
    <row r="51" spans="1:15" ht="30">
      <c r="A51" s="187">
        <v>3</v>
      </c>
      <c r="B51" s="152" t="s">
        <v>80</v>
      </c>
      <c r="C51" s="153"/>
      <c r="D51" s="154">
        <f>82100-4600</f>
        <v>77500</v>
      </c>
      <c r="E51" s="87">
        <f>SUM(F51:G51)</f>
        <v>0</v>
      </c>
      <c r="F51" s="192"/>
      <c r="G51" s="192"/>
      <c r="H51" s="199"/>
      <c r="I51" s="197">
        <v>15500</v>
      </c>
      <c r="J51" s="199"/>
      <c r="K51" s="87">
        <f t="shared" si="14"/>
        <v>52000</v>
      </c>
      <c r="L51" s="199"/>
      <c r="M51" s="197">
        <v>67500</v>
      </c>
      <c r="N51" s="199"/>
      <c r="O51" s="150"/>
    </row>
    <row r="52" spans="1:15" ht="45">
      <c r="A52" s="187">
        <v>4</v>
      </c>
      <c r="B52" s="188" t="s">
        <v>28</v>
      </c>
      <c r="C52" s="153"/>
      <c r="D52" s="154">
        <v>68000</v>
      </c>
      <c r="E52" s="87">
        <f>SUM(F52:G52)</f>
        <v>0</v>
      </c>
      <c r="F52" s="87"/>
      <c r="G52" s="87"/>
      <c r="H52" s="151"/>
      <c r="I52" s="87">
        <v>25509.698</v>
      </c>
      <c r="J52" s="151"/>
      <c r="K52" s="87">
        <f>M52-I52</f>
        <v>16980.603999999996</v>
      </c>
      <c r="L52" s="151"/>
      <c r="M52" s="197">
        <v>42490.301999999996</v>
      </c>
      <c r="N52" s="151"/>
      <c r="O52" s="150"/>
    </row>
    <row r="53" spans="1:15">
      <c r="A53" s="183">
        <v>2</v>
      </c>
      <c r="B53" s="184" t="s">
        <v>25</v>
      </c>
      <c r="C53" s="185"/>
      <c r="D53" s="186">
        <f t="shared" ref="D53:M53" si="15">SUM(D54:D56)</f>
        <v>21000</v>
      </c>
      <c r="E53" s="186">
        <f t="shared" si="15"/>
        <v>10000</v>
      </c>
      <c r="F53" s="186">
        <f t="shared" si="15"/>
        <v>10000</v>
      </c>
      <c r="G53" s="186">
        <f t="shared" si="15"/>
        <v>0</v>
      </c>
      <c r="H53" s="151"/>
      <c r="I53" s="186">
        <f t="shared" si="15"/>
        <v>0</v>
      </c>
      <c r="J53" s="151"/>
      <c r="K53" s="145">
        <f t="shared" si="15"/>
        <v>1000</v>
      </c>
      <c r="L53" s="151"/>
      <c r="M53" s="186">
        <f t="shared" si="15"/>
        <v>1000</v>
      </c>
      <c r="N53" s="151"/>
      <c r="O53" s="150"/>
    </row>
    <row r="54" spans="1:15" ht="30">
      <c r="A54" s="187">
        <v>1</v>
      </c>
      <c r="B54" s="188" t="s">
        <v>81</v>
      </c>
      <c r="C54" s="153"/>
      <c r="D54" s="154">
        <v>10000</v>
      </c>
      <c r="E54" s="87">
        <f>SUM(F54:G54)</f>
        <v>0</v>
      </c>
      <c r="F54" s="155"/>
      <c r="G54" s="155"/>
      <c r="H54" s="200"/>
      <c r="I54" s="155"/>
      <c r="J54" s="200"/>
      <c r="K54" s="87">
        <f t="shared" ref="K54:K56" si="16">M54-I54</f>
        <v>0</v>
      </c>
      <c r="L54" s="200"/>
      <c r="M54" s="197"/>
      <c r="N54" s="200"/>
      <c r="O54" s="201"/>
    </row>
    <row r="55" spans="1:15" ht="30">
      <c r="A55" s="187">
        <v>2</v>
      </c>
      <c r="B55" s="188" t="s">
        <v>26</v>
      </c>
      <c r="C55" s="153"/>
      <c r="D55" s="154">
        <v>1000</v>
      </c>
      <c r="E55" s="87">
        <f>SUM(F55:G55)</f>
        <v>0</v>
      </c>
      <c r="F55" s="155"/>
      <c r="G55" s="155"/>
      <c r="H55" s="200"/>
      <c r="I55" s="155">
        <v>0</v>
      </c>
      <c r="J55" s="200"/>
      <c r="K55" s="87">
        <f t="shared" si="16"/>
        <v>1000</v>
      </c>
      <c r="L55" s="200"/>
      <c r="M55" s="202">
        <v>1000</v>
      </c>
      <c r="N55" s="200"/>
      <c r="O55" s="201"/>
    </row>
    <row r="56" spans="1:15" ht="30">
      <c r="A56" s="187">
        <v>3</v>
      </c>
      <c r="B56" s="188" t="s">
        <v>23</v>
      </c>
      <c r="C56" s="153"/>
      <c r="D56" s="154">
        <v>10000</v>
      </c>
      <c r="E56" s="87">
        <f>SUM(F56:G56)</f>
        <v>10000</v>
      </c>
      <c r="F56" s="196">
        <v>10000</v>
      </c>
      <c r="G56" s="196"/>
      <c r="H56" s="151"/>
      <c r="I56" s="203">
        <v>0</v>
      </c>
      <c r="J56" s="204"/>
      <c r="K56" s="87">
        <f t="shared" si="16"/>
        <v>0</v>
      </c>
      <c r="L56" s="204"/>
      <c r="M56" s="202">
        <v>0</v>
      </c>
      <c r="N56" s="146"/>
      <c r="O56" s="144"/>
    </row>
    <row r="57" spans="1:15">
      <c r="A57" s="183" t="s">
        <v>52</v>
      </c>
      <c r="B57" s="184" t="s">
        <v>79</v>
      </c>
      <c r="C57" s="185"/>
      <c r="D57" s="186">
        <f>D58+D62+D65</f>
        <v>58900</v>
      </c>
      <c r="E57" s="186">
        <f>E58+E62+E65</f>
        <v>0</v>
      </c>
      <c r="F57" s="186">
        <f>F58+F62+F65</f>
        <v>0</v>
      </c>
      <c r="G57" s="186">
        <f>G58+G62+G65</f>
        <v>0</v>
      </c>
      <c r="H57" s="146"/>
      <c r="I57" s="186">
        <f>I58+I62+I65</f>
        <v>0</v>
      </c>
      <c r="J57" s="146"/>
      <c r="K57" s="145">
        <f>K58+K62+K65</f>
        <v>38900</v>
      </c>
      <c r="L57" s="146"/>
      <c r="M57" s="186">
        <f>M58+M62+M65</f>
        <v>38900</v>
      </c>
      <c r="N57" s="146"/>
      <c r="O57" s="144"/>
    </row>
    <row r="58" spans="1:15">
      <c r="A58" s="183">
        <v>1</v>
      </c>
      <c r="B58" s="184" t="s">
        <v>12</v>
      </c>
      <c r="C58" s="185"/>
      <c r="D58" s="186">
        <f>SUM(D59:D61)</f>
        <v>32400</v>
      </c>
      <c r="E58" s="186">
        <f>SUM(E59:E61)</f>
        <v>0</v>
      </c>
      <c r="F58" s="186">
        <f>SUM(F59:F61)</f>
        <v>0</v>
      </c>
      <c r="G58" s="186">
        <f>SUM(G59:G61)</f>
        <v>0</v>
      </c>
      <c r="H58" s="146"/>
      <c r="I58" s="186">
        <f>SUM(I59:I61)</f>
        <v>0</v>
      </c>
      <c r="J58" s="146"/>
      <c r="K58" s="145">
        <f>SUM(K59:K61)</f>
        <v>12400</v>
      </c>
      <c r="L58" s="146"/>
      <c r="M58" s="186">
        <f>SUM(M59:M61)</f>
        <v>12400</v>
      </c>
      <c r="N58" s="146"/>
      <c r="O58" s="144"/>
    </row>
    <row r="59" spans="1:15" ht="30">
      <c r="A59" s="187">
        <v>1</v>
      </c>
      <c r="B59" s="188" t="s">
        <v>75</v>
      </c>
      <c r="C59" s="153"/>
      <c r="D59" s="154">
        <v>20000</v>
      </c>
      <c r="E59" s="87">
        <f t="shared" ref="E59:E66" si="17">SUM(F59:G59)</f>
        <v>0</v>
      </c>
      <c r="F59" s="196"/>
      <c r="G59" s="196"/>
      <c r="H59" s="191"/>
      <c r="I59" s="196"/>
      <c r="J59" s="191"/>
      <c r="K59" s="87">
        <f t="shared" ref="K59:K61" si="18">M59-I59</f>
        <v>0</v>
      </c>
      <c r="L59" s="191"/>
      <c r="M59" s="196"/>
      <c r="N59" s="191"/>
      <c r="O59" s="144"/>
    </row>
    <row r="60" spans="1:15">
      <c r="A60" s="187">
        <v>2</v>
      </c>
      <c r="B60" s="188" t="s">
        <v>82</v>
      </c>
      <c r="C60" s="153"/>
      <c r="D60" s="154">
        <v>11000</v>
      </c>
      <c r="E60" s="87">
        <f t="shared" si="17"/>
        <v>0</v>
      </c>
      <c r="F60" s="196"/>
      <c r="G60" s="196"/>
      <c r="H60" s="191"/>
      <c r="I60" s="196"/>
      <c r="J60" s="191"/>
      <c r="K60" s="87">
        <f t="shared" si="18"/>
        <v>11000</v>
      </c>
      <c r="L60" s="191"/>
      <c r="M60" s="196">
        <v>11000</v>
      </c>
      <c r="N60" s="191"/>
      <c r="O60" s="144"/>
    </row>
    <row r="61" spans="1:15" ht="30">
      <c r="A61" s="187">
        <v>3</v>
      </c>
      <c r="B61" s="188" t="s">
        <v>83</v>
      </c>
      <c r="C61" s="153"/>
      <c r="D61" s="154">
        <v>1400</v>
      </c>
      <c r="E61" s="87">
        <f t="shared" si="17"/>
        <v>0</v>
      </c>
      <c r="F61" s="205"/>
      <c r="G61" s="196"/>
      <c r="H61" s="191"/>
      <c r="I61" s="205"/>
      <c r="J61" s="191"/>
      <c r="K61" s="87">
        <f t="shared" si="18"/>
        <v>1400</v>
      </c>
      <c r="L61" s="191"/>
      <c r="M61" s="167">
        <v>1400</v>
      </c>
      <c r="N61" s="191"/>
      <c r="O61" s="144"/>
    </row>
    <row r="62" spans="1:15">
      <c r="A62" s="183">
        <v>2</v>
      </c>
      <c r="B62" s="184" t="s">
        <v>25</v>
      </c>
      <c r="C62" s="185"/>
      <c r="D62" s="186">
        <f t="shared" ref="D62:K62" si="19">SUM(D63:D64)</f>
        <v>22000</v>
      </c>
      <c r="E62" s="186">
        <f t="shared" si="19"/>
        <v>0</v>
      </c>
      <c r="F62" s="186">
        <f t="shared" si="19"/>
        <v>0</v>
      </c>
      <c r="G62" s="186">
        <f t="shared" si="19"/>
        <v>0</v>
      </c>
      <c r="H62" s="191"/>
      <c r="I62" s="186">
        <f t="shared" si="19"/>
        <v>0</v>
      </c>
      <c r="J62" s="191"/>
      <c r="K62" s="145">
        <f t="shared" si="19"/>
        <v>22000</v>
      </c>
      <c r="L62" s="191"/>
      <c r="M62" s="186">
        <f>SUM(M63:M64)</f>
        <v>22000</v>
      </c>
      <c r="N62" s="191"/>
      <c r="O62" s="144"/>
    </row>
    <row r="63" spans="1:15" ht="30">
      <c r="A63" s="187">
        <v>1</v>
      </c>
      <c r="B63" s="188" t="s">
        <v>29</v>
      </c>
      <c r="C63" s="153"/>
      <c r="D63" s="154">
        <v>20000</v>
      </c>
      <c r="E63" s="87">
        <f t="shared" si="17"/>
        <v>0</v>
      </c>
      <c r="F63" s="205"/>
      <c r="G63" s="196"/>
      <c r="H63" s="191"/>
      <c r="I63" s="205"/>
      <c r="J63" s="191"/>
      <c r="K63" s="87">
        <f t="shared" ref="K63:K64" si="20">M63-I63</f>
        <v>20000</v>
      </c>
      <c r="L63" s="191"/>
      <c r="M63" s="167">
        <v>20000</v>
      </c>
      <c r="N63" s="191"/>
      <c r="O63" s="144"/>
    </row>
    <row r="64" spans="1:15" ht="45">
      <c r="A64" s="187">
        <v>2</v>
      </c>
      <c r="B64" s="188" t="s">
        <v>84</v>
      </c>
      <c r="C64" s="153"/>
      <c r="D64" s="154">
        <v>2000</v>
      </c>
      <c r="E64" s="87">
        <f t="shared" si="17"/>
        <v>0</v>
      </c>
      <c r="F64" s="205"/>
      <c r="G64" s="196"/>
      <c r="H64" s="191"/>
      <c r="I64" s="205"/>
      <c r="J64" s="191"/>
      <c r="K64" s="87">
        <f t="shared" si="20"/>
        <v>2000</v>
      </c>
      <c r="L64" s="191"/>
      <c r="M64" s="167">
        <v>2000</v>
      </c>
      <c r="N64" s="191"/>
      <c r="O64" s="144"/>
    </row>
    <row r="65" spans="1:15">
      <c r="A65" s="183">
        <v>3</v>
      </c>
      <c r="B65" s="184" t="s">
        <v>11</v>
      </c>
      <c r="C65" s="185"/>
      <c r="D65" s="186">
        <f t="shared" ref="D65:M65" si="21">SUM(D66)</f>
        <v>4500</v>
      </c>
      <c r="E65" s="186">
        <f t="shared" si="21"/>
        <v>0</v>
      </c>
      <c r="F65" s="186">
        <f t="shared" si="21"/>
        <v>0</v>
      </c>
      <c r="G65" s="186">
        <f t="shared" si="21"/>
        <v>0</v>
      </c>
      <c r="H65" s="191"/>
      <c r="I65" s="186">
        <f t="shared" si="21"/>
        <v>0</v>
      </c>
      <c r="J65" s="191"/>
      <c r="K65" s="145">
        <f t="shared" si="21"/>
        <v>4500</v>
      </c>
      <c r="L65" s="191"/>
      <c r="M65" s="186">
        <f t="shared" si="21"/>
        <v>4500</v>
      </c>
      <c r="N65" s="191"/>
      <c r="O65" s="144"/>
    </row>
    <row r="66" spans="1:15" ht="30">
      <c r="A66" s="187">
        <v>1</v>
      </c>
      <c r="B66" s="188" t="s">
        <v>85</v>
      </c>
      <c r="C66" s="153"/>
      <c r="D66" s="154">
        <v>4500</v>
      </c>
      <c r="E66" s="87">
        <f t="shared" si="17"/>
        <v>0</v>
      </c>
      <c r="F66" s="205"/>
      <c r="G66" s="196"/>
      <c r="H66" s="191"/>
      <c r="I66" s="205"/>
      <c r="J66" s="191"/>
      <c r="K66" s="87">
        <f>M66-I66</f>
        <v>4500</v>
      </c>
      <c r="L66" s="191"/>
      <c r="M66" s="167">
        <v>4500</v>
      </c>
      <c r="N66" s="191"/>
      <c r="O66" s="144"/>
    </row>
  </sheetData>
  <mergeCells count="18">
    <mergeCell ref="A1:O1"/>
    <mergeCell ref="A2:O2"/>
    <mergeCell ref="A3:O3"/>
    <mergeCell ref="B5:B7"/>
    <mergeCell ref="H5:H7"/>
    <mergeCell ref="A5:A7"/>
    <mergeCell ref="E6:E7"/>
    <mergeCell ref="D5:D7"/>
    <mergeCell ref="F6:G6"/>
    <mergeCell ref="C5:C7"/>
    <mergeCell ref="E5:G5"/>
    <mergeCell ref="J5:J7"/>
    <mergeCell ref="O5:O7"/>
    <mergeCell ref="I5:I7"/>
    <mergeCell ref="M5:M7"/>
    <mergeCell ref="N5:N7"/>
    <mergeCell ref="K5:K7"/>
    <mergeCell ref="L5:L7"/>
  </mergeCells>
  <pageMargins left="0.11811023622047245" right="0" top="0.19685039370078741" bottom="0.31496062992125984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zoomScale="85" zoomScaleNormal="85" workbookViewId="0">
      <selection activeCell="M17" sqref="M17"/>
    </sheetView>
  </sheetViews>
  <sheetFormatPr defaultColWidth="8.85546875" defaultRowHeight="15"/>
  <cols>
    <col min="1" max="1" width="7.28515625" style="25" customWidth="1"/>
    <col min="2" max="2" width="33.85546875" style="26" customWidth="1"/>
    <col min="3" max="3" width="10.140625" style="27" hidden="1" customWidth="1"/>
    <col min="4" max="4" width="14.28515625" style="25" customWidth="1"/>
    <col min="5" max="5" width="13.7109375" style="14" customWidth="1"/>
    <col min="6" max="6" width="12.5703125" style="14" customWidth="1"/>
    <col min="7" max="7" width="16.28515625" style="14" customWidth="1"/>
    <col min="8" max="8" width="18" style="14" customWidth="1"/>
    <col min="9" max="9" width="19" style="28" customWidth="1"/>
    <col min="10" max="10" width="26.28515625" customWidth="1"/>
    <col min="11" max="11" width="14" style="20" hidden="1" customWidth="1"/>
    <col min="12" max="12" width="20.7109375" hidden="1" customWidth="1"/>
    <col min="13" max="13" width="20.140625" style="29" customWidth="1"/>
    <col min="14" max="14" width="20.5703125" customWidth="1"/>
    <col min="15" max="15" width="14.140625" customWidth="1"/>
    <col min="16" max="16" width="10.5703125" customWidth="1"/>
    <col min="17" max="17" width="9.7109375" bestFit="1" customWidth="1"/>
  </cols>
  <sheetData>
    <row r="1" spans="1:17" ht="6.6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7" ht="18.75">
      <c r="A2" s="98" t="s">
        <v>63</v>
      </c>
      <c r="B2" s="98"/>
      <c r="C2" s="98"/>
      <c r="D2" s="98"/>
      <c r="E2" s="98"/>
      <c r="F2" s="98"/>
      <c r="G2" s="98"/>
      <c r="H2" s="98"/>
      <c r="I2" s="98"/>
      <c r="J2" s="98"/>
    </row>
    <row r="3" spans="1:17" ht="18.7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7">
      <c r="A4" s="21"/>
      <c r="B4" s="22"/>
      <c r="C4" s="16"/>
      <c r="D4" s="17"/>
      <c r="E4" s="18"/>
      <c r="F4" s="18"/>
      <c r="G4" s="18"/>
      <c r="H4" s="18"/>
      <c r="I4" s="15"/>
      <c r="J4" s="19" t="s">
        <v>0</v>
      </c>
    </row>
    <row r="5" spans="1:17" ht="23.45" customHeight="1">
      <c r="A5" s="109" t="s">
        <v>1</v>
      </c>
      <c r="B5" s="109" t="s">
        <v>2</v>
      </c>
      <c r="C5" s="112" t="s">
        <v>3</v>
      </c>
      <c r="D5" s="109" t="s">
        <v>48</v>
      </c>
      <c r="E5" s="105" t="s">
        <v>71</v>
      </c>
      <c r="F5" s="106"/>
      <c r="G5" s="106"/>
      <c r="H5" s="114" t="s">
        <v>62</v>
      </c>
      <c r="I5" s="117" t="s">
        <v>60</v>
      </c>
      <c r="J5" s="103" t="s">
        <v>4</v>
      </c>
      <c r="K5" s="104" t="s">
        <v>47</v>
      </c>
    </row>
    <row r="6" spans="1:17" ht="21" customHeight="1">
      <c r="A6" s="110"/>
      <c r="B6" s="110"/>
      <c r="C6" s="113"/>
      <c r="D6" s="110"/>
      <c r="E6" s="105" t="s">
        <v>5</v>
      </c>
      <c r="F6" s="105" t="s">
        <v>30</v>
      </c>
      <c r="G6" s="105"/>
      <c r="H6" s="115"/>
      <c r="I6" s="118"/>
      <c r="J6" s="103"/>
      <c r="K6" s="104"/>
    </row>
    <row r="7" spans="1:17" ht="56.45" customHeight="1">
      <c r="A7" s="111"/>
      <c r="B7" s="111"/>
      <c r="C7" s="34"/>
      <c r="D7" s="111"/>
      <c r="E7" s="106"/>
      <c r="F7" s="32" t="s">
        <v>31</v>
      </c>
      <c r="G7" s="32" t="s">
        <v>32</v>
      </c>
      <c r="H7" s="116"/>
      <c r="I7" s="119"/>
      <c r="J7" s="103"/>
      <c r="K7" s="104"/>
    </row>
    <row r="8" spans="1:17" ht="15.75">
      <c r="A8" s="35"/>
      <c r="B8" s="36" t="s">
        <v>6</v>
      </c>
      <c r="C8" s="37"/>
      <c r="D8" s="38">
        <f t="shared" ref="D8:I8" si="0">D9+D13+D21</f>
        <v>143103.77199999997</v>
      </c>
      <c r="E8" s="38">
        <f t="shared" si="0"/>
        <v>120490.60107999999</v>
      </c>
      <c r="F8" s="38">
        <f t="shared" si="0"/>
        <v>20386.047999999999</v>
      </c>
      <c r="G8" s="38">
        <f t="shared" si="0"/>
        <v>99824.553079999998</v>
      </c>
      <c r="H8" s="38">
        <f t="shared" si="0"/>
        <v>126292.47</v>
      </c>
      <c r="I8" s="81">
        <f t="shared" si="0"/>
        <v>22175.062920000008</v>
      </c>
      <c r="J8" s="39"/>
      <c r="K8" s="23"/>
      <c r="L8" s="14">
        <f t="shared" ref="L8:L23" si="1">D8-H8</f>
        <v>16811.301999999967</v>
      </c>
    </row>
    <row r="9" spans="1:17" ht="15.75">
      <c r="A9" s="40" t="s">
        <v>7</v>
      </c>
      <c r="B9" s="41" t="s">
        <v>36</v>
      </c>
      <c r="C9" s="42"/>
      <c r="D9" s="38">
        <f t="shared" ref="D9:I9" si="2">SUM(D10:D12)</f>
        <v>38000</v>
      </c>
      <c r="E9" s="38">
        <f t="shared" si="2"/>
        <v>24877.849399999999</v>
      </c>
      <c r="F9" s="38">
        <f t="shared" si="2"/>
        <v>13978.246999999998</v>
      </c>
      <c r="G9" s="38">
        <f t="shared" si="2"/>
        <v>10899.6024</v>
      </c>
      <c r="H9" s="38">
        <f t="shared" si="2"/>
        <v>28095.78</v>
      </c>
      <c r="I9" s="38">
        <f t="shared" si="2"/>
        <v>13122.150600000001</v>
      </c>
      <c r="J9" s="43"/>
      <c r="K9" s="23"/>
      <c r="L9" s="14">
        <f t="shared" si="1"/>
        <v>9904.2200000000012</v>
      </c>
    </row>
    <row r="10" spans="1:17" s="29" customFormat="1" ht="31.5">
      <c r="A10" s="44">
        <v>1</v>
      </c>
      <c r="B10" s="45" t="s">
        <v>45</v>
      </c>
      <c r="C10" s="37">
        <v>7891589</v>
      </c>
      <c r="D10" s="46">
        <v>25000</v>
      </c>
      <c r="E10" s="47">
        <f>SUM(F10:G10)</f>
        <v>19858.828999999998</v>
      </c>
      <c r="F10" s="47">
        <f>6155.942+3171.216+1782.728+2382.069</f>
        <v>13491.954999999998</v>
      </c>
      <c r="G10" s="47">
        <v>6366.8739999999998</v>
      </c>
      <c r="H10" s="47">
        <f>17476.76+2600</f>
        <v>20076.759999999998</v>
      </c>
      <c r="I10" s="80">
        <f>D10-E10</f>
        <v>5141.1710000000021</v>
      </c>
      <c r="J10" s="39" t="s">
        <v>64</v>
      </c>
      <c r="K10" s="23">
        <v>25137.173999999999</v>
      </c>
      <c r="L10" s="14">
        <f t="shared" si="1"/>
        <v>4923.2400000000016</v>
      </c>
      <c r="N10"/>
      <c r="O10"/>
      <c r="P10"/>
      <c r="Q10"/>
    </row>
    <row r="11" spans="1:17" s="29" customFormat="1" ht="31.5">
      <c r="A11" s="44">
        <v>2</v>
      </c>
      <c r="B11" s="45" t="s">
        <v>24</v>
      </c>
      <c r="C11" s="37" t="s">
        <v>50</v>
      </c>
      <c r="D11" s="46">
        <v>3000</v>
      </c>
      <c r="E11" s="47">
        <f>SUM(F11:G11)</f>
        <v>0</v>
      </c>
      <c r="F11" s="47"/>
      <c r="G11" s="47"/>
      <c r="H11" s="47">
        <v>3000</v>
      </c>
      <c r="I11" s="80">
        <f>D11-E11</f>
        <v>3000</v>
      </c>
      <c r="J11" s="39" t="s">
        <v>64</v>
      </c>
      <c r="K11" s="23">
        <v>7653.0972030000003</v>
      </c>
      <c r="L11" s="14">
        <f t="shared" si="1"/>
        <v>0</v>
      </c>
      <c r="N11"/>
      <c r="O11"/>
      <c r="P11"/>
      <c r="Q11"/>
    </row>
    <row r="12" spans="1:17" s="29" customFormat="1" ht="31.5">
      <c r="A12" s="48">
        <v>1</v>
      </c>
      <c r="B12" s="49" t="s">
        <v>56</v>
      </c>
      <c r="C12" s="37">
        <v>8016527</v>
      </c>
      <c r="D12" s="50">
        <v>10000</v>
      </c>
      <c r="E12" s="47">
        <f>SUM(F12:G12)</f>
        <v>5019.0204000000003</v>
      </c>
      <c r="F12" s="47">
        <f>328.64+99.928+57.724</f>
        <v>486.29199999999997</v>
      </c>
      <c r="G12" s="47">
        <f>1045.341+3487.3874</f>
        <v>4532.7284</v>
      </c>
      <c r="H12" s="47">
        <v>5019.0200000000004</v>
      </c>
      <c r="I12" s="80">
        <f>D12-E12</f>
        <v>4980.9795999999997</v>
      </c>
      <c r="J12" s="39" t="s">
        <v>64</v>
      </c>
      <c r="K12" s="23"/>
      <c r="L12" s="14">
        <f t="shared" si="1"/>
        <v>4980.9799999999996</v>
      </c>
      <c r="N12"/>
      <c r="O12"/>
      <c r="P12"/>
      <c r="Q12"/>
    </row>
    <row r="13" spans="1:17" s="29" customFormat="1" ht="15.75">
      <c r="A13" s="51" t="s">
        <v>15</v>
      </c>
      <c r="B13" s="52" t="s">
        <v>39</v>
      </c>
      <c r="C13" s="42"/>
      <c r="D13" s="38">
        <f t="shared" ref="D13:I13" si="3">SUM(D14:D20)</f>
        <v>96584.615999999995</v>
      </c>
      <c r="E13" s="38">
        <f t="shared" si="3"/>
        <v>89405.756679999991</v>
      </c>
      <c r="F13" s="38">
        <f t="shared" si="3"/>
        <v>480.80599999999998</v>
      </c>
      <c r="G13" s="38">
        <f t="shared" si="3"/>
        <v>88924.950679999994</v>
      </c>
      <c r="H13" s="38">
        <f t="shared" si="3"/>
        <v>91989.695000000007</v>
      </c>
      <c r="I13" s="38">
        <f t="shared" si="3"/>
        <v>6740.7513200000058</v>
      </c>
      <c r="J13" s="43"/>
      <c r="K13" s="23"/>
      <c r="L13" s="14">
        <f t="shared" si="1"/>
        <v>4594.9209999999875</v>
      </c>
      <c r="N13"/>
      <c r="O13"/>
      <c r="P13"/>
      <c r="Q13"/>
    </row>
    <row r="14" spans="1:17" s="29" customFormat="1" ht="31.5">
      <c r="A14" s="35">
        <v>1</v>
      </c>
      <c r="B14" s="53" t="s">
        <v>14</v>
      </c>
      <c r="C14" s="54"/>
      <c r="D14" s="55">
        <v>6172.7340000000004</v>
      </c>
      <c r="E14" s="47">
        <f>SUM(F14:G14)</f>
        <v>4556.9039999999995</v>
      </c>
      <c r="F14" s="55">
        <v>170.33799999999999</v>
      </c>
      <c r="G14" s="55">
        <v>4386.5659999999998</v>
      </c>
      <c r="H14" s="55">
        <v>6172.7340000000004</v>
      </c>
      <c r="I14" s="47">
        <f>D14-E14</f>
        <v>1615.8300000000008</v>
      </c>
      <c r="J14" s="39" t="s">
        <v>64</v>
      </c>
      <c r="K14" s="23"/>
      <c r="L14" s="14">
        <f t="shared" si="1"/>
        <v>0</v>
      </c>
      <c r="N14"/>
      <c r="O14"/>
      <c r="P14"/>
      <c r="Q14"/>
    </row>
    <row r="15" spans="1:17" s="29" customFormat="1" ht="31.5">
      <c r="A15" s="35">
        <v>2</v>
      </c>
      <c r="B15" s="30" t="s">
        <v>61</v>
      </c>
      <c r="C15" s="37"/>
      <c r="D15" s="31">
        <v>276.541</v>
      </c>
      <c r="E15" s="31">
        <v>251.852</v>
      </c>
      <c r="F15" s="31">
        <v>251.852</v>
      </c>
      <c r="G15" s="55"/>
      <c r="H15" s="31">
        <v>251.852</v>
      </c>
      <c r="I15" s="47">
        <f>D15-E15</f>
        <v>24.688999999999993</v>
      </c>
      <c r="J15" s="39" t="s">
        <v>69</v>
      </c>
      <c r="K15" s="23"/>
      <c r="L15" s="14">
        <f t="shared" si="1"/>
        <v>24.688999999999993</v>
      </c>
      <c r="N15"/>
      <c r="O15"/>
      <c r="P15"/>
      <c r="Q15"/>
    </row>
    <row r="16" spans="1:17" s="29" customFormat="1" ht="31.5">
      <c r="A16" s="35">
        <v>3</v>
      </c>
      <c r="B16" s="33" t="s">
        <v>59</v>
      </c>
      <c r="C16" s="56"/>
      <c r="D16" s="57">
        <v>1000</v>
      </c>
      <c r="E16" s="58">
        <f>SUM(F16:G16)</f>
        <v>58.616</v>
      </c>
      <c r="F16" s="57">
        <v>58.616</v>
      </c>
      <c r="G16" s="57"/>
      <c r="H16" s="57">
        <v>58.616</v>
      </c>
      <c r="I16" s="58">
        <f>D16-E16</f>
        <v>941.38400000000001</v>
      </c>
      <c r="J16" s="59" t="s">
        <v>70</v>
      </c>
      <c r="K16" s="23"/>
      <c r="L16" s="14">
        <f t="shared" si="1"/>
        <v>941.38400000000001</v>
      </c>
      <c r="N16"/>
      <c r="O16"/>
      <c r="P16"/>
      <c r="Q16"/>
    </row>
    <row r="17" spans="1:17" s="29" customFormat="1" ht="63">
      <c r="A17" s="35">
        <v>4</v>
      </c>
      <c r="B17" s="53" t="s">
        <v>27</v>
      </c>
      <c r="C17" s="37">
        <v>7966799</v>
      </c>
      <c r="D17" s="47">
        <v>2540</v>
      </c>
      <c r="E17" s="60">
        <f>SUM(F17:G17)</f>
        <v>2068.7340000000004</v>
      </c>
      <c r="F17" s="47"/>
      <c r="G17" s="47">
        <f>1329.678+739.056</f>
        <v>2068.7340000000004</v>
      </c>
      <c r="H17" s="47">
        <f>2068.734+415.321+10.193+8.007+4.587</f>
        <v>2506.8420000000001</v>
      </c>
      <c r="I17" s="47">
        <f>D17-H17</f>
        <v>33.157999999999902</v>
      </c>
      <c r="J17" s="39" t="s">
        <v>68</v>
      </c>
      <c r="K17" s="23">
        <v>220.00800000000001</v>
      </c>
      <c r="L17" s="14">
        <f t="shared" si="1"/>
        <v>33.157999999999902</v>
      </c>
      <c r="N17"/>
      <c r="O17"/>
      <c r="P17"/>
      <c r="Q17"/>
    </row>
    <row r="18" spans="1:17" ht="63">
      <c r="A18" s="35">
        <v>5</v>
      </c>
      <c r="B18" s="61" t="s">
        <v>28</v>
      </c>
      <c r="C18" s="37">
        <v>8044300</v>
      </c>
      <c r="D18" s="47">
        <v>85537.100999999995</v>
      </c>
      <c r="E18" s="60">
        <f>SUM(F18:G18)</f>
        <v>81980.883999999991</v>
      </c>
      <c r="F18" s="62"/>
      <c r="G18" s="62">
        <f>38478.189+43502.695</f>
        <v>81980.883999999991</v>
      </c>
      <c r="H18" s="62">
        <v>81980.884000000005</v>
      </c>
      <c r="I18" s="80">
        <f>D18-E18</f>
        <v>3556.2170000000042</v>
      </c>
      <c r="J18" s="39" t="s">
        <v>58</v>
      </c>
      <c r="K18" s="23"/>
      <c r="L18" s="14">
        <f t="shared" si="1"/>
        <v>3556.2169999999896</v>
      </c>
    </row>
    <row r="19" spans="1:17" ht="31.5">
      <c r="A19" s="35">
        <v>6</v>
      </c>
      <c r="B19" s="63" t="s">
        <v>49</v>
      </c>
      <c r="C19" s="64">
        <v>7961338</v>
      </c>
      <c r="D19" s="65">
        <v>530</v>
      </c>
      <c r="E19" s="66"/>
      <c r="F19" s="65"/>
      <c r="G19" s="65"/>
      <c r="H19" s="65">
        <v>530</v>
      </c>
      <c r="I19" s="58">
        <f>D19-E19</f>
        <v>530</v>
      </c>
      <c r="J19" s="67" t="s">
        <v>65</v>
      </c>
      <c r="K19" s="24"/>
      <c r="L19" s="14">
        <f t="shared" si="1"/>
        <v>0</v>
      </c>
    </row>
    <row r="20" spans="1:17" s="29" customFormat="1" ht="47.25">
      <c r="A20" s="35">
        <v>7</v>
      </c>
      <c r="B20" s="68" t="s">
        <v>51</v>
      </c>
      <c r="C20" s="69"/>
      <c r="D20" s="70">
        <v>528.24</v>
      </c>
      <c r="E20" s="60">
        <f>SUM(F20:G20)</f>
        <v>488.76668000000001</v>
      </c>
      <c r="F20" s="55"/>
      <c r="G20" s="70">
        <f>435.692+53.07468</f>
        <v>488.76668000000001</v>
      </c>
      <c r="H20" s="70">
        <v>488.767</v>
      </c>
      <c r="I20" s="47">
        <f>D20-E20</f>
        <v>39.473320000000001</v>
      </c>
      <c r="J20" s="71" t="s">
        <v>66</v>
      </c>
      <c r="K20" s="20"/>
      <c r="L20" s="14">
        <f t="shared" si="1"/>
        <v>39.473000000000013</v>
      </c>
      <c r="N20"/>
      <c r="O20"/>
      <c r="P20"/>
      <c r="Q20"/>
    </row>
    <row r="21" spans="1:17" s="29" customFormat="1" ht="21" customHeight="1">
      <c r="A21" s="72" t="s">
        <v>54</v>
      </c>
      <c r="B21" s="73" t="s">
        <v>53</v>
      </c>
      <c r="C21" s="74"/>
      <c r="D21" s="75">
        <f>D22+D23</f>
        <v>8519.1560000000009</v>
      </c>
      <c r="E21" s="75">
        <f>E22+E23</f>
        <v>6206.9949999999999</v>
      </c>
      <c r="F21" s="75">
        <f>F22+F23</f>
        <v>5926.9949999999999</v>
      </c>
      <c r="G21" s="72">
        <f>G22</f>
        <v>0</v>
      </c>
      <c r="H21" s="75">
        <f>H22+H23</f>
        <v>6206.9949999999999</v>
      </c>
      <c r="I21" s="75">
        <f>I22+I23</f>
        <v>2312.1610000000001</v>
      </c>
      <c r="J21" s="72">
        <f>J22</f>
        <v>0</v>
      </c>
      <c r="K21" s="20"/>
      <c r="L21" s="14">
        <f t="shared" si="1"/>
        <v>2312.161000000001</v>
      </c>
      <c r="N21"/>
      <c r="O21"/>
      <c r="P21"/>
      <c r="Q21"/>
    </row>
    <row r="22" spans="1:17" s="29" customFormat="1" ht="32.450000000000003" customHeight="1">
      <c r="A22" s="76">
        <v>1</v>
      </c>
      <c r="B22" s="77" t="s">
        <v>55</v>
      </c>
      <c r="C22" s="78"/>
      <c r="D22" s="70">
        <v>7419.5510000000004</v>
      </c>
      <c r="E22" s="60">
        <f>SUM(F22:G22)</f>
        <v>5842.7280000000001</v>
      </c>
      <c r="F22" s="79">
        <f>620.737+1806.899+1741.476+1673.616</f>
        <v>5842.7280000000001</v>
      </c>
      <c r="G22" s="79"/>
      <c r="H22" s="79">
        <v>5842.7280000000001</v>
      </c>
      <c r="I22" s="47">
        <f>D22-E22</f>
        <v>1576.8230000000003</v>
      </c>
      <c r="J22" s="76"/>
      <c r="K22" s="20"/>
      <c r="L22" s="14">
        <f t="shared" si="1"/>
        <v>1576.8230000000003</v>
      </c>
      <c r="N22"/>
      <c r="O22"/>
      <c r="P22"/>
      <c r="Q22"/>
    </row>
    <row r="23" spans="1:17" s="29" customFormat="1" ht="29.45" customHeight="1">
      <c r="A23" s="82">
        <v>2</v>
      </c>
      <c r="B23" s="83" t="s">
        <v>67</v>
      </c>
      <c r="C23" s="84"/>
      <c r="D23" s="82">
        <v>1099.605</v>
      </c>
      <c r="E23" s="66">
        <f>SUM(F23:G23)</f>
        <v>364.267</v>
      </c>
      <c r="F23" s="85">
        <v>84.266999999999996</v>
      </c>
      <c r="G23" s="85">
        <v>280</v>
      </c>
      <c r="H23" s="85">
        <v>364.267</v>
      </c>
      <c r="I23" s="58">
        <f>D23-E23</f>
        <v>735.33799999999997</v>
      </c>
      <c r="J23" s="82"/>
      <c r="K23" s="20"/>
      <c r="L23" s="14">
        <f t="shared" si="1"/>
        <v>735.33799999999997</v>
      </c>
      <c r="N23"/>
      <c r="O23"/>
      <c r="P23"/>
      <c r="Q23"/>
    </row>
  </sheetData>
  <mergeCells count="14">
    <mergeCell ref="J5:J7"/>
    <mergeCell ref="K5:K7"/>
    <mergeCell ref="E6:E7"/>
    <mergeCell ref="F6:G6"/>
    <mergeCell ref="A1:J1"/>
    <mergeCell ref="A2:J2"/>
    <mergeCell ref="A3:J3"/>
    <mergeCell ref="A5:A7"/>
    <mergeCell ref="B5:B7"/>
    <mergeCell ref="C5:C6"/>
    <mergeCell ref="D5:D7"/>
    <mergeCell ref="E5:G5"/>
    <mergeCell ref="H5:H7"/>
    <mergeCell ref="I5:I7"/>
  </mergeCells>
  <pageMargins left="0.33" right="0.2" top="0.2" bottom="0.3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HOP</vt:lpstr>
      <vt:lpstr>CHI TIET</vt:lpstr>
      <vt:lpstr>CHI TIET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Admin</cp:lastModifiedBy>
  <cp:lastPrinted>2024-03-26T07:59:10Z</cp:lastPrinted>
  <dcterms:created xsi:type="dcterms:W3CDTF">2023-01-12T01:07:53Z</dcterms:created>
  <dcterms:modified xsi:type="dcterms:W3CDTF">2024-03-26T07:59:13Z</dcterms:modified>
</cp:coreProperties>
</file>